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8800" windowHeight="12315" tabRatio="602" activeTab="1"/>
  </bookViews>
  <sheets>
    <sheet name="PARAMETRELER" sheetId="1" r:id="rId1"/>
    <sheet name="5510 KİŞİLERDEN ALACAKLAR" sheetId="2" r:id="rId2"/>
    <sheet name="SGK TARAFI" sheetId="3" r:id="rId3"/>
  </sheets>
  <definedNames>
    <definedName name="_xlnm.Print_Area" localSheetId="1">'5510 KİŞİLERDEN ALACAKLAR'!$E$2:$I$63</definedName>
    <definedName name="_xlnm.Print_Area" localSheetId="2">'SGK TARAFI'!$A$1:$L$33</definedName>
  </definedNames>
  <calcPr fullCalcOnLoad="1"/>
</workbook>
</file>

<file path=xl/comments1.xml><?xml version="1.0" encoding="utf-8"?>
<comments xmlns="http://schemas.openxmlformats.org/spreadsheetml/2006/main">
  <authors>
    <author>mehmet yurtcu</author>
  </authors>
  <commentList>
    <comment ref="A1" authorId="0">
      <text>
        <r>
          <rPr>
            <b/>
            <sz val="9"/>
            <rFont val="Tahoma"/>
            <family val="0"/>
          </rPr>
          <t>ÇIKIŞ SEBEP KODU SEÇİNİZ</t>
        </r>
      </text>
    </comment>
    <comment ref="B11" authorId="0">
      <text>
        <r>
          <rPr>
            <b/>
            <sz val="9"/>
            <rFont val="Tahoma"/>
            <family val="2"/>
          </rPr>
          <t xml:space="preserve">Belediyelerde 
****** Genel bütçeli kamu idareleri dışındaki kamu idarelerinde, kamu görevlisine peşin ödeme yapılırken kesilen vergiler kişinin borcunu düşüren unsur olarak dikkate alınmaz. Ancak, verginin henüz vergi dairesine ödenmediği durumlarda bu tutar, ilgili hesabında kayıtlı vergi tutarından kişinin borcuna mahsuben ret ve iade edilebilir. Aksi durumda vergi dairesine fazla veya yersiz ödenen vergiler için kişi tarafından vergi dairesinden ret ve iade talebinde bulunulabilir.
Bu nedenle yersiz ödenen tutarlara ait vergilerinvergi dairesine  ödenmesi durumunda Evet
Yersiz ödemenin vergi dairesine ödenmemesi durumunda ise emanet hesaplardan kişinin borcuna mahsip edilebilecektir.Bu durumda ise HAYIR seçilmelidir. </t>
        </r>
        <r>
          <rPr>
            <sz val="9"/>
            <rFont val="Tahoma"/>
            <family val="2"/>
          </rPr>
          <t xml:space="preserve">
</t>
        </r>
      </text>
    </comment>
    <comment ref="E7" authorId="0">
      <text>
        <r>
          <rPr>
            <b/>
            <sz val="9"/>
            <rFont val="Tahoma"/>
            <family val="0"/>
          </rPr>
          <t>Öncelikle tüm meslektaşlarımıza kolaylıklar diliyorum!!!
Çalışma hayatımız içerisinde memurun çeşitli nedenlerle görevinden ayrılması söz konusu olabilmektedir. Bu çalışmamızda siz meslektaşlarımıza katkı sağlamaya çalıştık.
Bu Hesaplama Tablosu içerisinde 5510 sayılı Kanuna tabi memurların;
- İstifa 
- İhraç
- Askerlik
- Mustafi Sayılma
- Aylıksız İzin
- Açığa Alınma 
Şeklinde sona eren çıkış sebebiyle AYLIKLARDAN GERİ ALINACAK TUTARI HESAPLAMA TABLOSU hazırlanabilmektedir.
Bu kapsamda;
TABLONUN KULLANILIŞI
1- Görevin Sona Erme Nedenini Giriniz.
2- Güncel Katsayıyı Giriniz.
3- Güncel Günlük Brüt Asgari Ücret Tutarını Giriniz. 
4- SGK Kurum Payı Borç Çıkartılsını mı? kısmını seçiniz.
5- İade Alınacak Maaş Bordrosu İçerisinde Yer Alan Gelir Vergisinin Vergi Dairesine Ödenip Ödenmediğini Belirtiniz.
6- İade Maaş Bordrosu İçerisinde Yer Alan Bir Önceki Aya Ait Kümülatif Gelir Vergisi Matrahını Giriniz.
7- İade Bordro İçerisinde Yer Alan Gelir Vergisi Ve Damga Vergisi Muafiyet Tutarlarını Giriniz.
8- Verilerin Girilmesinde Kuruş Tutarlarını Virgül ile Ayırınız!!!!
Bu Verileri Girdikten Sonra Bir Sonraki Sayfaya Geçiniz!!!</t>
        </r>
        <r>
          <rPr>
            <sz val="9"/>
            <rFont val="Tahoma"/>
            <family val="0"/>
          </rPr>
          <t xml:space="preserve">
</t>
        </r>
      </text>
    </comment>
  </commentList>
</comments>
</file>

<file path=xl/comments2.xml><?xml version="1.0" encoding="utf-8"?>
<comments xmlns="http://schemas.openxmlformats.org/spreadsheetml/2006/main">
  <authors>
    <author>mehmet yurtcu</author>
  </authors>
  <commentList>
    <comment ref="C10" authorId="0">
      <text>
        <r>
          <rPr>
            <b/>
            <sz val="9"/>
            <rFont val="Tahoma"/>
            <family val="2"/>
          </rPr>
          <t>Maaş ödemesinin yapıldığı ay bordrosundaki kazanç kalemlerini aşağıya giriniz...</t>
        </r>
        <r>
          <rPr>
            <sz val="9"/>
            <rFont val="Tahoma"/>
            <family val="2"/>
          </rPr>
          <t xml:space="preserve">
</t>
        </r>
      </text>
    </comment>
    <comment ref="C29" authorId="0">
      <text>
        <r>
          <rPr>
            <sz val="9"/>
            <rFont val="Tahoma"/>
            <family val="2"/>
          </rPr>
          <t>ÇALIŞANIN SGK MATRAHI ASGARİ ÜCRETİN ALTINDA KALMASI DURUMUNDA KALAN TUTAR KADAR İŞVEREN DESTEK SAĞLAR</t>
        </r>
      </text>
    </comment>
    <comment ref="C33" authorId="0">
      <text>
        <r>
          <rPr>
            <b/>
            <sz val="9"/>
            <rFont val="Tahoma"/>
            <family val="2"/>
          </rPr>
          <t>Bir önceki ay kümülatif gelir vergisi matrahını PARAMETRELER alanındaki ilgili kısma giriniz...</t>
        </r>
        <r>
          <rPr>
            <sz val="9"/>
            <rFont val="Tahoma"/>
            <family val="2"/>
          </rPr>
          <t xml:space="preserve">
</t>
        </r>
      </text>
    </comment>
    <comment ref="G51" authorId="0">
      <text>
        <r>
          <rPr>
            <b/>
            <sz val="9"/>
            <rFont val="Tahoma"/>
            <family val="2"/>
          </rPr>
          <t>Belediyelerde 
****** Genel bütçeli kamu idareleri dışındaki kamu idarelerinde, kamu görevlisine peşin ödeme yapılırken kesilen vergiler kişinin borcunu düşüren unsur olarak dikkate alınmaz. Ancak, verginin henüz vergi dairesine ödenmediği durumlarda bu tutar, ilgili hesabında kayıtlı vergi tutarından kişinin borcuna mahsuben ret ve iade edilebilir. Aksi durumda vergi dairesine fazla veya yersiz ödenen vergiler için kişi tarafından vergi dairesinden ret ve iade talebinde bulunulabilir.
Bu alanın aktif olması için parametreler alanında bulunan "Vergi Borç Çıkartılsın mı?" Alanının durumuna göre EVET Veya HAYIR Olarak seçilmesi gerekmektedir.</t>
        </r>
      </text>
    </comment>
    <comment ref="I48" authorId="0">
      <text>
        <r>
          <rPr>
            <b/>
            <sz val="9"/>
            <rFont val="Tahoma"/>
            <family val="2"/>
          </rPr>
          <t>***** 488 sayılı Damga Vergisi Kanumma göre, verginin konusunu Kanuna ekli (1) sayılı Tabloda yazılı kağıtlar oluşturduğundan, Kanuna ekli listedeki usulüne uygun düzenlenmiş ve imzalanmış kağıtlar için vergiyi doğuran olay gerçekleşmiş olacaktır. Bu nedenle, damga vergisinin tamamının "kesilmesi gereken vergi tutan" olarak dikkate alınması gerekir.</t>
        </r>
        <r>
          <rPr>
            <sz val="9"/>
            <rFont val="Tahoma"/>
            <family val="2"/>
          </rPr>
          <t xml:space="preserve">
</t>
        </r>
      </text>
    </comment>
    <comment ref="K2" authorId="0">
      <text>
        <r>
          <rPr>
            <b/>
            <sz val="9"/>
            <rFont val="Tahoma"/>
            <family val="0"/>
          </rPr>
          <t>TABLONUN KULLANILIŞI
1-Ay Böleni Alanına Ayın Takvim Gün Sayısını Giriniz.(28-29-30-31)
2-Ay İçinde Çalışma Gün Sayısıını Giriniz.
3-İade Alınacak Maaş Bordrosu İçerisinde Yer Alan Kazanç Ve Kesintileri Giriniz.
4-Bu tutarlar Girildikten Sonra Bordro Eşitliğinin Sağlanılıp Sağlanılmadığı Kontrol Ediniz.
5-Belediyelerde Ödemenin Türüne Bağlı Olarak Peşin Veya Çalıştıktan Sonra Ödeme Yapılabilmektedir.
Örneğin Sosyal Denge Ödemesi Ulaşım Ücreti v.b Ödemeler Peşin veya Çalıştıktan Sonra Ödenebilmektedir.Bu gibi Durumlarda "Kazanç Ödeme Durumu "Peşin"Çalıştıktan Sonra"Seçeneği İle Belirtilmelidir.
Bu Durum Bu Ödeminin Borç Çıkartılıp Çıkartılmayacağını Belirlemektedir.
Bordronuzda Bulunan Bazı Kazançların Tabloda Bulunmaması Durumunda İse 
MAKTU MESAİ (GV+DV)
FAZLA MESAİ (GV+DV)
Alanlarına Veri Girişi Yapabilirsiniz.</t>
        </r>
      </text>
    </comment>
  </commentList>
</comments>
</file>

<file path=xl/sharedStrings.xml><?xml version="1.0" encoding="utf-8"?>
<sst xmlns="http://schemas.openxmlformats.org/spreadsheetml/2006/main" count="196" uniqueCount="142">
  <si>
    <t>KEFALET</t>
  </si>
  <si>
    <t>NAFAKA</t>
  </si>
  <si>
    <t>Kıdem Aylığı</t>
  </si>
  <si>
    <t>Taban Aylığı</t>
  </si>
  <si>
    <t>Ek Gösterge</t>
  </si>
  <si>
    <t>T  O  P  L  A  M</t>
  </si>
  <si>
    <t>AYLIK UNSURLARI</t>
  </si>
  <si>
    <t>T O P L A M</t>
  </si>
  <si>
    <t>Geri Alınacak Gün Sayısı</t>
  </si>
  <si>
    <t>Brüt Asgari Ücret Günlük</t>
  </si>
  <si>
    <t>BES</t>
  </si>
  <si>
    <t>TAM AYLIK HESABI 30 GÜN (5510 SONRASI YENİ MEMUR)</t>
  </si>
  <si>
    <t>Katsayı</t>
  </si>
  <si>
    <t>P.Ö.G.Sayısı</t>
  </si>
  <si>
    <t>Gösterge Aylığı</t>
  </si>
  <si>
    <t>S.G.K Matrahına esas
Toplam P.E.K</t>
  </si>
  <si>
    <t>TOPLAM PRİM</t>
  </si>
  <si>
    <t>M.Y.Ö 
(%11 KURUM)</t>
  </si>
  <si>
    <t>M.Y.Ö 
(% 9 Memur)</t>
  </si>
  <si>
    <t>G.S.S 
(% 7,5 Devlet)</t>
  </si>
  <si>
    <t>G.S.S 
(% 5 Memur)</t>
  </si>
  <si>
    <t>Fazla Ödenen Devlet Ve Memur Kesintileri Toplamları</t>
  </si>
  <si>
    <t>NOT</t>
  </si>
  <si>
    <t>Geri ödenecek Toplam Tutar</t>
  </si>
  <si>
    <t>GSS İADE VAR</t>
  </si>
  <si>
    <t>TABAN AYLIĞI ( GV-DG-SGK)</t>
  </si>
  <si>
    <t>EK GÖSTERGE ( GV-DG-SGK)</t>
  </si>
  <si>
    <t>MAKTU MESAİ (GV+DV)</t>
  </si>
  <si>
    <t>GÖSTERGE AYLIGI ( GV+DG+SGK)</t>
  </si>
  <si>
    <t>KIDEM AYLIĞI ( GV+DG+SGK)</t>
  </si>
  <si>
    <t>YAN ÖDEME (GV+DV)</t>
  </si>
  <si>
    <t>ÖZ. HİZ. TAZ. (DV+SGK)</t>
  </si>
  <si>
    <t>MAKAM TAZ. (DV+SGK)</t>
  </si>
  <si>
    <t>GÖREV TAZ. (DV+SGK)</t>
  </si>
  <si>
    <t>EK ÖDEME (DV)</t>
  </si>
  <si>
    <t>TOP. SÖZ. PRİM (DV)</t>
  </si>
  <si>
    <t>S. DENGE (GV+DV)</t>
  </si>
  <si>
    <t>YEMEK YARDIMI (MUAF)</t>
  </si>
  <si>
    <t>FAZLA MESAİ (GV+DV)</t>
  </si>
  <si>
    <t>AİLE EŞ (MUAF)</t>
  </si>
  <si>
    <t>AİLE ÇOCUK (MUAF)</t>
  </si>
  <si>
    <t>MYÖ KURUM VE KİŞİ İLE GSS KURUM VE KİŞİ KESİNTİLERİ KESENEK BİLGİ SİSTEMİ ÜZERİNDEN İADE OLUŞTURULACAKTIR.</t>
  </si>
  <si>
    <t>GSS KURUM VE KİŞİ KESİNTİSİ ÇALIŞANIN BAKMAKLA YÜKÜMLÜSÜ OLUP OLMADIĞINA GÖRE İADE EDİLEBİLECEKTİR.</t>
  </si>
  <si>
    <t>Bir Önceki Ay Kümülatif Gelir Vergisi Matrahını Giriniz</t>
  </si>
  <si>
    <t>ÇALIŞMA SÜRESİ İLE ORANTILI OLARAK  FAZLA ÖDENİP S.G.K.DAN GERİ İSTENECEK TUTAR (M.Y.Ö / G.S.S)</t>
  </si>
  <si>
    <t>MAHSUP G.S.S % 12</t>
  </si>
  <si>
    <t>ASKER (BAKMAKLA YÜK.OLAN)&amp; ÜCRETSİZ İZİN</t>
  </si>
  <si>
    <t>GÖREVİNE SON VERİLDİ &amp; ASKER (BAKMAKLA YÜKÜMLÜ YOK) &amp; İSTİFA &amp; SEÇİM NED.İSTİFA</t>
  </si>
  <si>
    <t>Tam Alınan Maaş Bordrosu 
İçerisinde Yer Alan Asgari Ücret Muafiyet Tutarını Giriniz</t>
  </si>
  <si>
    <t>Tam Alınan Maaş Bordrosu 
İçerisinde Yer Alan 
Damga Vergisi Muafiyet Tutarını Giriniz</t>
  </si>
  <si>
    <t>https://iscimemur.net/</t>
  </si>
  <si>
    <t>TOPLAM NET ÖDEME TUTARI</t>
  </si>
  <si>
    <t>KESİNTİ  TOPLAMI</t>
  </si>
  <si>
    <t>M.Y.Ö. İŞVEREN</t>
  </si>
  <si>
    <t>G.S.S. İŞVEREN</t>
  </si>
  <si>
    <t>M.Y.Ö. ÇALIŞAN</t>
  </si>
  <si>
    <t>G.S.S. ÇALIŞAN</t>
  </si>
  <si>
    <t>KESİNTİ 2</t>
  </si>
  <si>
    <t>KESİNTİ 3</t>
  </si>
  <si>
    <t>SENDİKA AİDATI</t>
  </si>
  <si>
    <t>SDS KESİNTİSİ</t>
  </si>
  <si>
    <t>KESİNTİ 4</t>
  </si>
  <si>
    <t>KESİNTİ 5</t>
  </si>
  <si>
    <t>KESİNTİ 6</t>
  </si>
  <si>
    <t>KESİNTİ 7</t>
  </si>
  <si>
    <t>KESİNTİ 8</t>
  </si>
  <si>
    <t>AYLIK VERGİ MATRAHI</t>
  </si>
  <si>
    <t>SİGORTA MATRAHI</t>
  </si>
  <si>
    <t>GELİR VERGİSİ KESİNTİSİ</t>
  </si>
  <si>
    <t>DAMGA VERGİSİ KESİNTİSİ</t>
  </si>
  <si>
    <t>TOPLAM KAZANÇ</t>
  </si>
  <si>
    <t>KAZANÇLAR TOPLAMI</t>
  </si>
  <si>
    <t xml:space="preserve">MEMUR STATÜSÜ 5510 </t>
  </si>
  <si>
    <t>ÖDENEN</t>
  </si>
  <si>
    <t>KÜM GEL.VER MTRH</t>
  </si>
  <si>
    <t>İCRA</t>
  </si>
  <si>
    <t>İLAVE ÖDEME (375)</t>
  </si>
  <si>
    <t>…. BELEDİYESİ
İnsan Kaynakları ve Eğitim Dairesi Başkanlığı/Müdürlüğü</t>
  </si>
  <si>
    <t>Tazminat 
Toplamı</t>
  </si>
  <si>
    <t>M.Y.Ö 
(KURUM %11)</t>
  </si>
  <si>
    <t>M.Y.Ö 
(Memur % 9)</t>
  </si>
  <si>
    <t>G.S.S 
(Devlet % 7.5)</t>
  </si>
  <si>
    <t>G.S.S 
(Memur % 5)</t>
  </si>
  <si>
    <t>VERGİ İNDİRİMİ TUTARI (HAYAT-ENGELLİLİK V.B)</t>
  </si>
  <si>
    <t>A-PERSONEL BİLGİLERİ</t>
  </si>
  <si>
    <t>Harcama Birimi Adı</t>
  </si>
  <si>
    <t>Muhasebe Birimi Adı</t>
  </si>
  <si>
    <t>Borçlunun Adı Soyadı</t>
  </si>
  <si>
    <t>Sicil / TC Kimlik No</t>
  </si>
  <si>
    <t>Teblig Tarihi</t>
  </si>
  <si>
    <t xml:space="preserve">Adresi </t>
  </si>
  <si>
    <t>V.K.N</t>
  </si>
  <si>
    <t>Ünvanı</t>
  </si>
  <si>
    <t>Borcun Nedeni</t>
  </si>
  <si>
    <t>Aylık Dönemi</t>
  </si>
  <si>
    <t>Ayrılış Tarihi</t>
  </si>
  <si>
    <t>Faiz Başlanğıç Tarihi</t>
  </si>
  <si>
    <t>AYLIKLARDAN GERİ ALINACAK TUTAR HESAPLAMA TABLOSU</t>
  </si>
  <si>
    <t>Gelir Vergisi İstisnası</t>
  </si>
  <si>
    <t>B-AYLIK BİLGİLERİ</t>
  </si>
  <si>
    <t>ÖDENEN 
a</t>
  </si>
  <si>
    <t>HAK EDİLEN
B=(a/Ödemenin Yapıldığı
Gün Sayısı)/Çalışılan Gün Sayısı</t>
  </si>
  <si>
    <t>HAK EDİLEN VE EDİLMEYEN AYLIK TUTARLAR</t>
  </si>
  <si>
    <t>EMEKLİ KESENKLERİ /  
SİGORTA PRİMLERİ</t>
  </si>
  <si>
    <t>Kesilen Vergi Tutarı</t>
  </si>
  <si>
    <t>Kesilmesi Gereken
 Vegi Tutarı</t>
  </si>
  <si>
    <t>III-VERGİ
 KESİNTİLERİ</t>
  </si>
  <si>
    <t>Gelir Vergisi ****</t>
  </si>
  <si>
    <t>Damga Vergisi *****</t>
  </si>
  <si>
    <t>GERÇEKLEŞTİRME GÖREVLİSİ</t>
  </si>
  <si>
    <t>HARCAMA YETKİLİSİ</t>
  </si>
  <si>
    <t>Adı  -Soyadı</t>
  </si>
  <si>
    <t>İmza</t>
  </si>
  <si>
    <t>IV-HESAPLANAN
BORÇ TUTARI</t>
  </si>
  <si>
    <t>EVET</t>
  </si>
  <si>
    <t>HAYIR</t>
  </si>
  <si>
    <t>Emekli Kes/ Sigorta Primi
Devlet/İşveren Payı</t>
  </si>
  <si>
    <t>Genel Sağlık Sigortası Primi
(Devlet / İşveren Payı)</t>
  </si>
  <si>
    <t>NET ÖDEME (Gelir Damga İst Dahil)</t>
  </si>
  <si>
    <t>DAMGA VERGİS İst ödenen (Bilgi Amaçlı Pasif)</t>
  </si>
  <si>
    <t>GELİR VERGİSİ İst ödenen (Bilgi Amaçlı Pasif)</t>
  </si>
  <si>
    <t>KAZANÇ 
ÖDEME 
DURUMU</t>
  </si>
  <si>
    <t>Peşin</t>
  </si>
  <si>
    <t>Çalıştıktan Sonra</t>
  </si>
  <si>
    <t>Sabit</t>
  </si>
  <si>
    <t>Dayanak:</t>
  </si>
  <si>
    <t>Pek Fark 
Toplamı</t>
  </si>
  <si>
    <t>AÇIGA ALINMA</t>
  </si>
  <si>
    <t>.</t>
  </si>
  <si>
    <t>Kişi GSS Oranı</t>
  </si>
  <si>
    <t>Kurum GSS Oranı</t>
  </si>
  <si>
    <t>Kişi MYÖ Oranı</t>
  </si>
  <si>
    <t>Kurum MYÖ Oranı</t>
  </si>
  <si>
    <t>Kurum MYÖ+L:X Oranı</t>
  </si>
  <si>
    <t>KATSAYI</t>
  </si>
  <si>
    <t>GELİR VERGİSİ ORANLARININ DEĞİŞMESİ DURUMUNDA
GÜNCELLEME YAPMAK İÇİN;</t>
  </si>
  <si>
    <t>ALT + F11 TUŞLARINA BİRLEKTE BASARAK ÇIKAN EKRANIN ÜST TARAFINA</t>
  </si>
  <si>
    <t>GÜNCEL TUTARLARI GİREBİLİRSİNİZ…</t>
  </si>
  <si>
    <t>SGK Kurum Payı Borç Çıkartılsın mı?</t>
  </si>
  <si>
    <t>Vergi Vergi Dairesine Ödendi mi?</t>
  </si>
  <si>
    <t>Ay Böleni Seç Aylık
 Bilgileri İçin Hesaplamada Dikkate Alınır. (28-29-30-31)</t>
  </si>
  <si>
    <t>Çalışma Gün Sayısı 
(Aylık Bilgileri İçin Hesaplamada Dikkate Alınır)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</si>
</sst>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0"/>
    <numFmt numFmtId="181" formatCode="#,##0.00;[Red]#,##0.00"/>
    <numFmt numFmtId="182" formatCode="#,##0;[Red]#,##0"/>
    <numFmt numFmtId="183" formatCode="#,##0.00000"/>
    <numFmt numFmtId="184" formatCode="0.0%"/>
    <numFmt numFmtId="185" formatCode="[$-41F]dd\ mmmm\ yyyy\ dddd"/>
    <numFmt numFmtId="186" formatCode="d/m;@"/>
    <numFmt numFmtId="187" formatCode="#,##0.00\ &quot;TL&quot;"/>
    <numFmt numFmtId="188" formatCode="#,##0\ &quot;TL&quot;"/>
    <numFmt numFmtId="189" formatCode="0.0000"/>
    <numFmt numFmtId="190" formatCode="0;[Red]0"/>
    <numFmt numFmtId="191" formatCode="#,##0.000000"/>
    <numFmt numFmtId="192" formatCode="#,##0.0000000"/>
    <numFmt numFmtId="193" formatCode="#,##0.00_ ;\-#,##0.00\ "/>
    <numFmt numFmtId="194" formatCode="#,##0.00_ ;[Red]\-#,##0.00\ "/>
    <numFmt numFmtId="195" formatCode="0.00_ ;[Red]\-0.00\ "/>
    <numFmt numFmtId="196" formatCode="0.000000"/>
    <numFmt numFmtId="197" formatCode="#,##0.00\ _T_L"/>
    <numFmt numFmtId="198" formatCode="&quot;₺&quot;#,##0.00"/>
    <numFmt numFmtId="199" formatCode="[$-41F]d\ mmmm\ yyyy\ dddd"/>
    <numFmt numFmtId="200" formatCode="0.0"/>
  </numFmts>
  <fonts count="50">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b/>
      <sz val="8"/>
      <name val="Arial"/>
      <family val="2"/>
    </font>
    <font>
      <sz val="9"/>
      <name val="Arial"/>
      <family val="2"/>
    </font>
    <font>
      <b/>
      <sz val="10"/>
      <name val="Arial"/>
      <family val="2"/>
    </font>
    <font>
      <b/>
      <sz val="12"/>
      <name val="Arial"/>
      <family val="2"/>
    </font>
    <font>
      <b/>
      <sz val="9"/>
      <name val="Arial"/>
      <family val="2"/>
    </font>
    <font>
      <sz val="9"/>
      <name val="Tahoma"/>
      <family val="2"/>
    </font>
    <font>
      <b/>
      <i/>
      <u val="single"/>
      <sz val="12"/>
      <name val="Arial"/>
      <family val="2"/>
    </font>
    <font>
      <b/>
      <u val="single"/>
      <sz val="10"/>
      <name val="Arial"/>
      <family val="2"/>
    </font>
    <font>
      <b/>
      <sz val="9"/>
      <name val="Tahoma"/>
      <family val="0"/>
    </font>
    <font>
      <u val="single"/>
      <sz val="14"/>
      <color indexed="12"/>
      <name val="Arial"/>
      <family val="2"/>
    </font>
    <font>
      <b/>
      <sz val="7"/>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theme="0" tint="-0.1499900072813034"/>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color indexed="63"/>
      </right>
      <top style="medium"/>
      <bottom style="thin"/>
    </border>
    <border>
      <left style="medium"/>
      <right>
        <color indexed="63"/>
      </right>
      <top style="thin"/>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medium"/>
    </border>
    <border>
      <left>
        <color indexed="63"/>
      </left>
      <right style="medium"/>
      <top style="medium"/>
      <bottom style="thin"/>
    </border>
    <border>
      <left style="thin"/>
      <right style="thin"/>
      <top style="medium"/>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233">
    <xf numFmtId="0" fontId="0" fillId="0" borderId="0" xfId="0"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0" fontId="0" fillId="0" borderId="0" xfId="0" applyFill="1" applyAlignment="1" applyProtection="1">
      <alignment/>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4" fillId="0" borderId="0" xfId="0" applyFont="1" applyBorder="1" applyAlignment="1" applyProtection="1">
      <alignment/>
      <protection locked="0"/>
    </xf>
    <xf numFmtId="4" fontId="1" fillId="0" borderId="0" xfId="0" applyNumberFormat="1" applyFont="1" applyBorder="1" applyAlignment="1" applyProtection="1">
      <alignment/>
      <protection locked="0"/>
    </xf>
    <xf numFmtId="4" fontId="1" fillId="0" borderId="0" xfId="0" applyNumberFormat="1" applyFont="1" applyFill="1" applyBorder="1" applyAlignment="1" applyProtection="1">
      <alignment/>
      <protection locked="0"/>
    </xf>
    <xf numFmtId="0" fontId="1" fillId="34"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7" fillId="34" borderId="10" xfId="0" applyFont="1" applyFill="1" applyBorder="1" applyAlignment="1" applyProtection="1">
      <alignment/>
      <protection locked="0"/>
    </xf>
    <xf numFmtId="4" fontId="1" fillId="0" borderId="0" xfId="0" applyNumberFormat="1" applyFont="1" applyAlignment="1" applyProtection="1">
      <alignment/>
      <protection locked="0"/>
    </xf>
    <xf numFmtId="1" fontId="1" fillId="0" borderId="0" xfId="0" applyNumberFormat="1" applyFont="1" applyFill="1" applyBorder="1" applyAlignment="1" applyProtection="1">
      <alignment/>
      <protection locked="0"/>
    </xf>
    <xf numFmtId="1" fontId="1" fillId="0" borderId="0" xfId="0" applyNumberFormat="1" applyFont="1" applyFill="1" applyBorder="1" applyAlignment="1" applyProtection="1">
      <alignment/>
      <protection locked="0"/>
    </xf>
    <xf numFmtId="0" fontId="0" fillId="0" borderId="0" xfId="0" applyBorder="1" applyAlignment="1" applyProtection="1">
      <alignment/>
      <protection locked="0"/>
    </xf>
    <xf numFmtId="2" fontId="0" fillId="0" borderId="0" xfId="0" applyNumberFormat="1" applyFill="1" applyBorder="1" applyAlignment="1" applyProtection="1">
      <alignment/>
      <protection locked="0"/>
    </xf>
    <xf numFmtId="4" fontId="5" fillId="34" borderId="11" xfId="0" applyNumberFormat="1" applyFont="1" applyFill="1" applyBorder="1" applyAlignment="1" applyProtection="1">
      <alignment/>
      <protection hidden="1"/>
    </xf>
    <xf numFmtId="4" fontId="1" fillId="33" borderId="11" xfId="0" applyNumberFormat="1" applyFont="1" applyFill="1" applyBorder="1" applyAlignment="1" applyProtection="1">
      <alignment/>
      <protection hidden="1"/>
    </xf>
    <xf numFmtId="4" fontId="9" fillId="34" borderId="11" xfId="0" applyNumberFormat="1" applyFont="1" applyFill="1" applyBorder="1" applyAlignment="1" applyProtection="1">
      <alignment/>
      <protection hidden="1"/>
    </xf>
    <xf numFmtId="4" fontId="1" fillId="34" borderId="11" xfId="0" applyNumberFormat="1" applyFont="1" applyFill="1" applyBorder="1" applyAlignment="1" applyProtection="1">
      <alignment/>
      <protection hidden="1"/>
    </xf>
    <xf numFmtId="4" fontId="4" fillId="33" borderId="11" xfId="0" applyNumberFormat="1" applyFont="1" applyFill="1" applyBorder="1" applyAlignment="1" applyProtection="1">
      <alignment/>
      <protection hidden="1"/>
    </xf>
    <xf numFmtId="0" fontId="5" fillId="0" borderId="12" xfId="0" applyFont="1" applyBorder="1" applyAlignment="1" applyProtection="1">
      <alignment horizontal="center"/>
      <protection hidden="1"/>
    </xf>
    <xf numFmtId="0" fontId="5" fillId="0" borderId="0" xfId="0" applyFont="1" applyBorder="1" applyAlignment="1" applyProtection="1">
      <alignment/>
      <protection hidden="1"/>
    </xf>
    <xf numFmtId="187" fontId="9" fillId="0" borderId="0" xfId="0" applyNumberFormat="1" applyFont="1" applyBorder="1" applyAlignment="1" applyProtection="1">
      <alignment/>
      <protection hidden="1"/>
    </xf>
    <xf numFmtId="187" fontId="9" fillId="0" borderId="0" xfId="0" applyNumberFormat="1" applyFont="1" applyBorder="1" applyAlignment="1" applyProtection="1">
      <alignment horizontal="right"/>
      <protection hidden="1"/>
    </xf>
    <xf numFmtId="0" fontId="1" fillId="0" borderId="13" xfId="0" applyFont="1" applyFill="1" applyBorder="1" applyAlignment="1" applyProtection="1">
      <alignment/>
      <protection hidden="1"/>
    </xf>
    <xf numFmtId="4" fontId="1" fillId="34" borderId="14" xfId="0" applyNumberFormat="1" applyFont="1" applyFill="1" applyBorder="1" applyAlignment="1" applyProtection="1">
      <alignment/>
      <protection hidden="1"/>
    </xf>
    <xf numFmtId="4" fontId="1" fillId="34" borderId="15" xfId="0" applyNumberFormat="1" applyFont="1" applyFill="1" applyBorder="1" applyAlignment="1" applyProtection="1">
      <alignment/>
      <protection hidden="1"/>
    </xf>
    <xf numFmtId="0" fontId="0" fillId="0" borderId="11" xfId="0" applyBorder="1" applyAlignment="1" applyProtection="1">
      <alignment/>
      <protection hidden="1"/>
    </xf>
    <xf numFmtId="0" fontId="0" fillId="0" borderId="11" xfId="0" applyBorder="1" applyAlignment="1" applyProtection="1">
      <alignment horizontal="left" vertical="top"/>
      <protection hidden="1"/>
    </xf>
    <xf numFmtId="0" fontId="0" fillId="0" borderId="0" xfId="0" applyAlignment="1" applyProtection="1">
      <alignment/>
      <protection hidden="1"/>
    </xf>
    <xf numFmtId="0" fontId="0" fillId="0" borderId="11" xfId="0" applyFont="1" applyBorder="1" applyAlignment="1" applyProtection="1">
      <alignment/>
      <protection hidden="1"/>
    </xf>
    <xf numFmtId="1" fontId="0" fillId="0" borderId="11" xfId="0" applyNumberFormat="1" applyFont="1" applyBorder="1" applyAlignment="1" applyProtection="1">
      <alignment horizontal="left" vertical="top"/>
      <protection hidden="1"/>
    </xf>
    <xf numFmtId="0" fontId="0" fillId="0" borderId="11" xfId="0"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4" fontId="0" fillId="0" borderId="11" xfId="0" applyNumberFormat="1" applyBorder="1" applyAlignment="1" applyProtection="1">
      <alignment horizontal="center" vertical="center"/>
      <protection hidden="1"/>
    </xf>
    <xf numFmtId="0" fontId="0" fillId="0" borderId="0" xfId="0" applyBorder="1" applyAlignment="1" applyProtection="1">
      <alignment/>
      <protection hidden="1"/>
    </xf>
    <xf numFmtId="0" fontId="0" fillId="0" borderId="11" xfId="0" applyFont="1" applyBorder="1" applyAlignment="1" applyProtection="1">
      <alignment horizontal="left" vertical="top"/>
      <protection hidden="1"/>
    </xf>
    <xf numFmtId="197" fontId="0" fillId="0" borderId="11" xfId="0" applyNumberFormat="1" applyBorder="1" applyAlignment="1" applyProtection="1">
      <alignment horizontal="center" vertical="center"/>
      <protection hidden="1"/>
    </xf>
    <xf numFmtId="0" fontId="8" fillId="0" borderId="16"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0" fillId="0" borderId="0" xfId="0" applyAlignment="1" applyProtection="1">
      <alignment horizontal="center" vertical="center"/>
      <protection hidden="1"/>
    </xf>
    <xf numFmtId="197" fontId="7" fillId="0" borderId="11"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97" fontId="7" fillId="0" borderId="0" xfId="0" applyNumberFormat="1" applyFont="1" applyBorder="1" applyAlignment="1" applyProtection="1">
      <alignment horizontal="center" vertical="center"/>
      <protection hidden="1"/>
    </xf>
    <xf numFmtId="0" fontId="0" fillId="35" borderId="11" xfId="0" applyFill="1" applyBorder="1" applyAlignment="1" applyProtection="1">
      <alignment horizontal="center" vertical="center"/>
      <protection locked="0"/>
    </xf>
    <xf numFmtId="0" fontId="0" fillId="36" borderId="11" xfId="0" applyFill="1" applyBorder="1" applyAlignment="1" applyProtection="1">
      <alignment horizontal="center" vertical="center"/>
      <protection locked="0"/>
    </xf>
    <xf numFmtId="0" fontId="0" fillId="35"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35" borderId="11" xfId="0" applyFont="1" applyFill="1" applyBorder="1" applyAlignment="1" applyProtection="1">
      <alignment horizontal="center" vertical="center" wrapText="1"/>
      <protection locked="0"/>
    </xf>
    <xf numFmtId="0" fontId="0" fillId="35" borderId="0" xfId="0" applyFill="1" applyAlignment="1" applyProtection="1">
      <alignment horizontal="center" vertical="center"/>
      <protection hidden="1"/>
    </xf>
    <xf numFmtId="0" fontId="0" fillId="35" borderId="0" xfId="0" applyFill="1" applyAlignment="1" applyProtection="1">
      <alignment/>
      <protection hidden="1"/>
    </xf>
    <xf numFmtId="0" fontId="0" fillId="35" borderId="11" xfId="0" applyFill="1" applyBorder="1" applyAlignment="1" applyProtection="1">
      <alignment horizontal="center" vertical="center" wrapText="1"/>
      <protection locked="0"/>
    </xf>
    <xf numFmtId="0" fontId="14" fillId="0" borderId="0" xfId="47" applyFont="1" applyAlignment="1" applyProtection="1">
      <alignment/>
      <protection hidden="1"/>
    </xf>
    <xf numFmtId="197" fontId="7" fillId="35" borderId="11" xfId="0" applyNumberFormat="1" applyFont="1" applyFill="1" applyBorder="1" applyAlignment="1" applyProtection="1">
      <alignment horizontal="center" vertical="center"/>
      <protection hidden="1"/>
    </xf>
    <xf numFmtId="198" fontId="0" fillId="0" borderId="0" xfId="0" applyNumberFormat="1" applyAlignment="1" applyProtection="1">
      <alignment/>
      <protection locked="0"/>
    </xf>
    <xf numFmtId="0" fontId="0" fillId="35" borderId="0" xfId="0" applyFont="1" applyFill="1" applyAlignment="1" applyProtection="1">
      <alignment/>
      <protection hidden="1"/>
    </xf>
    <xf numFmtId="0" fontId="0" fillId="35" borderId="0" xfId="0" applyFont="1" applyFill="1" applyAlignment="1" applyProtection="1">
      <alignment horizontal="center" vertical="center"/>
      <protection hidden="1"/>
    </xf>
    <xf numFmtId="0" fontId="1" fillId="34" borderId="11" xfId="0" applyFont="1" applyFill="1" applyBorder="1" applyAlignment="1" applyProtection="1">
      <alignment/>
      <protection hidden="1"/>
    </xf>
    <xf numFmtId="0" fontId="1" fillId="37" borderId="11" xfId="0" applyFont="1" applyFill="1" applyBorder="1" applyAlignment="1" applyProtection="1">
      <alignment horizontal="center" vertical="center"/>
      <protection locked="0"/>
    </xf>
    <xf numFmtId="0" fontId="4" fillId="38" borderId="10" xfId="0" applyFont="1" applyFill="1" applyBorder="1" applyAlignment="1" applyProtection="1">
      <alignment/>
      <protection locked="0"/>
    </xf>
    <xf numFmtId="4" fontId="1" fillId="38" borderId="11" xfId="0" applyNumberFormat="1" applyFont="1" applyFill="1" applyBorder="1" applyAlignment="1" applyProtection="1">
      <alignment/>
      <protection locked="0"/>
    </xf>
    <xf numFmtId="0" fontId="1" fillId="38" borderId="10" xfId="0" applyFont="1" applyFill="1" applyBorder="1" applyAlignment="1" applyProtection="1">
      <alignment horizontal="left"/>
      <protection locked="0"/>
    </xf>
    <xf numFmtId="0" fontId="4" fillId="38" borderId="11" xfId="0" applyFont="1" applyFill="1" applyBorder="1" applyAlignment="1" applyProtection="1">
      <alignment/>
      <protection locked="0"/>
    </xf>
    <xf numFmtId="198" fontId="0" fillId="36" borderId="11" xfId="0" applyNumberFormat="1" applyFill="1" applyBorder="1" applyAlignment="1" applyProtection="1">
      <alignment horizontal="center" vertical="center"/>
      <protection locked="0"/>
    </xf>
    <xf numFmtId="198" fontId="0" fillId="36" borderId="0" xfId="0" applyNumberFormat="1" applyFill="1" applyAlignment="1" applyProtection="1">
      <alignment horizontal="center" vertical="center"/>
      <protection locked="0"/>
    </xf>
    <xf numFmtId="0" fontId="7" fillId="34" borderId="10" xfId="0" applyFont="1" applyFill="1" applyBorder="1" applyAlignment="1" applyProtection="1">
      <alignment horizontal="left" vertical="top"/>
      <protection locked="0"/>
    </xf>
    <xf numFmtId="0" fontId="7" fillId="0" borderId="0" xfId="0" applyFont="1" applyAlignment="1" applyProtection="1">
      <alignment horizontal="center"/>
      <protection locked="0"/>
    </xf>
    <xf numFmtId="0" fontId="0" fillId="0" borderId="0" xfId="0" applyBorder="1" applyAlignment="1" applyProtection="1">
      <alignment/>
      <protection hidden="1"/>
    </xf>
    <xf numFmtId="3" fontId="0" fillId="36" borderId="11" xfId="0" applyNumberFormat="1" applyFill="1" applyBorder="1" applyAlignment="1" applyProtection="1">
      <alignment horizontal="center" vertical="center"/>
      <protection locked="0"/>
    </xf>
    <xf numFmtId="3" fontId="0" fillId="0" borderId="0" xfId="0" applyNumberFormat="1" applyAlignment="1" applyProtection="1">
      <alignment/>
      <protection hidden="1"/>
    </xf>
    <xf numFmtId="0" fontId="8" fillId="0" borderId="0" xfId="0" applyFont="1" applyBorder="1" applyAlignment="1" applyProtection="1">
      <alignment horizontal="center"/>
      <protection hidden="1"/>
    </xf>
    <xf numFmtId="0" fontId="12" fillId="0" borderId="0" xfId="0" applyFont="1" applyAlignment="1" applyProtection="1">
      <alignment/>
      <protection hidden="1"/>
    </xf>
    <xf numFmtId="0" fontId="7" fillId="0" borderId="0" xfId="0" applyFont="1" applyAlignment="1" applyProtection="1">
      <alignment/>
      <protection hidden="1"/>
    </xf>
    <xf numFmtId="0" fontId="8" fillId="0" borderId="11"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1" fillId="0" borderId="11" xfId="0" applyFont="1" applyBorder="1" applyAlignment="1" applyProtection="1">
      <alignment horizontal="left" vertical="top"/>
      <protection locked="0"/>
    </xf>
    <xf numFmtId="0" fontId="1" fillId="0" borderId="19" xfId="0" applyFont="1" applyBorder="1" applyAlignment="1" applyProtection="1">
      <alignment/>
      <protection hidden="1"/>
    </xf>
    <xf numFmtId="0" fontId="1" fillId="0" borderId="17" xfId="0" applyFont="1" applyBorder="1" applyAlignment="1" applyProtection="1">
      <alignment/>
      <protection hidden="1"/>
    </xf>
    <xf numFmtId="0" fontId="1" fillId="33" borderId="20" xfId="0" applyFont="1" applyFill="1" applyBorder="1" applyAlignment="1" applyProtection="1">
      <alignment/>
      <protection hidden="1"/>
    </xf>
    <xf numFmtId="0" fontId="4" fillId="0" borderId="18" xfId="0" applyFont="1" applyBorder="1" applyAlignment="1" applyProtection="1">
      <alignment/>
      <protection hidden="1"/>
    </xf>
    <xf numFmtId="0" fontId="1" fillId="0" borderId="18" xfId="0" applyFont="1" applyFill="1" applyBorder="1" applyAlignment="1" applyProtection="1">
      <alignment horizontal="left"/>
      <protection hidden="1"/>
    </xf>
    <xf numFmtId="0" fontId="1" fillId="0" borderId="21" xfId="0" applyFont="1" applyBorder="1" applyAlignment="1" applyProtection="1">
      <alignment/>
      <protection hidden="1"/>
    </xf>
    <xf numFmtId="0" fontId="5" fillId="0" borderId="21" xfId="0" applyFont="1" applyBorder="1" applyAlignment="1" applyProtection="1">
      <alignment/>
      <protection hidden="1"/>
    </xf>
    <xf numFmtId="0" fontId="5" fillId="0" borderId="22" xfId="0" applyFont="1" applyBorder="1" applyAlignment="1" applyProtection="1">
      <alignment/>
      <protection hidden="1"/>
    </xf>
    <xf numFmtId="0" fontId="5" fillId="0" borderId="23" xfId="0" applyFont="1" applyBorder="1" applyAlignment="1" applyProtection="1">
      <alignment/>
      <protection hidden="1"/>
    </xf>
    <xf numFmtId="0" fontId="1" fillId="0" borderId="11" xfId="0" applyFont="1" applyFill="1" applyBorder="1" applyAlignment="1" applyProtection="1">
      <alignment/>
      <protection hidden="1"/>
    </xf>
    <xf numFmtId="4" fontId="1"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center" vertical="center"/>
      <protection locked="0"/>
    </xf>
    <xf numFmtId="0" fontId="0" fillId="35" borderId="0" xfId="0" applyFont="1" applyFill="1" applyAlignment="1" applyProtection="1">
      <alignment horizontal="center" vertical="center"/>
      <protection locked="0"/>
    </xf>
    <xf numFmtId="198" fontId="0" fillId="0" borderId="0" xfId="0" applyNumberFormat="1" applyAlignment="1" applyProtection="1">
      <alignment/>
      <protection hidden="1"/>
    </xf>
    <xf numFmtId="0" fontId="1" fillId="0" borderId="17" xfId="0" applyFont="1" applyBorder="1" applyAlignment="1" applyProtection="1">
      <alignment wrapText="1"/>
      <protection hidden="1"/>
    </xf>
    <xf numFmtId="0" fontId="1" fillId="0" borderId="24" xfId="0" applyFont="1" applyBorder="1" applyAlignment="1" applyProtection="1">
      <alignment wrapText="1"/>
      <protection hidden="1"/>
    </xf>
    <xf numFmtId="0" fontId="0" fillId="0" borderId="0" xfId="0" applyAlignment="1" applyProtection="1">
      <alignment horizontal="center"/>
      <protection locked="0"/>
    </xf>
    <xf numFmtId="0" fontId="5" fillId="0" borderId="25" xfId="0" applyFont="1" applyBorder="1" applyAlignment="1" applyProtection="1">
      <alignment horizontal="center"/>
      <protection hidden="1"/>
    </xf>
    <xf numFmtId="0" fontId="8" fillId="0" borderId="18" xfId="0" applyFont="1" applyBorder="1" applyAlignment="1" applyProtection="1">
      <alignment horizontal="center" vertical="center"/>
      <protection locked="0"/>
    </xf>
    <xf numFmtId="0" fontId="15" fillId="39" borderId="10" xfId="0" applyFont="1" applyFill="1" applyBorder="1" applyAlignment="1" applyProtection="1">
      <alignment/>
      <protection hidden="1"/>
    </xf>
    <xf numFmtId="4" fontId="1" fillId="39" borderId="26" xfId="0" applyNumberFormat="1" applyFont="1" applyFill="1" applyBorder="1" applyAlignment="1" applyProtection="1">
      <alignment/>
      <protection hidden="1"/>
    </xf>
    <xf numFmtId="0" fontId="7" fillId="36" borderId="0" xfId="0" applyFont="1" applyFill="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 fillId="37" borderId="11" xfId="0" applyFont="1" applyFill="1" applyBorder="1" applyAlignment="1" applyProtection="1">
      <alignment horizontal="center" vertical="center" wrapText="1"/>
      <protection hidden="1"/>
    </xf>
    <xf numFmtId="0" fontId="0" fillId="36" borderId="0" xfId="0" applyFill="1" applyAlignment="1" applyProtection="1">
      <alignment horizontal="center" vertical="center"/>
      <protection locked="0"/>
    </xf>
    <xf numFmtId="187" fontId="0" fillId="0" borderId="19" xfId="0" applyNumberFormat="1" applyBorder="1" applyAlignment="1" applyProtection="1">
      <alignment horizontal="center"/>
      <protection locked="0"/>
    </xf>
    <xf numFmtId="0" fontId="1" fillId="0" borderId="18" xfId="0" applyFont="1" applyBorder="1" applyAlignment="1" applyProtection="1">
      <alignment horizontal="left"/>
      <protection locked="0"/>
    </xf>
    <xf numFmtId="0" fontId="5" fillId="0" borderId="18" xfId="0" applyFont="1" applyBorder="1" applyAlignment="1" applyProtection="1">
      <alignment horizontal="left"/>
      <protection locked="0"/>
    </xf>
    <xf numFmtId="14" fontId="1" fillId="0" borderId="18" xfId="0" applyNumberFormat="1" applyFont="1" applyBorder="1" applyAlignment="1" applyProtection="1">
      <alignment horizontal="left"/>
      <protection locked="0"/>
    </xf>
    <xf numFmtId="0" fontId="5" fillId="0" borderId="25" xfId="0" applyFont="1" applyBorder="1" applyAlignment="1" applyProtection="1">
      <alignment horizontal="center" wrapText="1"/>
      <protection hidden="1"/>
    </xf>
    <xf numFmtId="3" fontId="0" fillId="35" borderId="11" xfId="0" applyNumberFormat="1" applyFont="1" applyFill="1" applyBorder="1" applyAlignment="1" applyProtection="1">
      <alignment horizontal="center" vertical="center"/>
      <protection hidden="1"/>
    </xf>
    <xf numFmtId="0" fontId="0" fillId="35" borderId="11" xfId="0" applyFill="1" applyBorder="1" applyAlignment="1" applyProtection="1">
      <alignment horizontal="center" vertical="center"/>
      <protection hidden="1"/>
    </xf>
    <xf numFmtId="10" fontId="0" fillId="36" borderId="11" xfId="0" applyNumberForma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locked="0"/>
    </xf>
    <xf numFmtId="4" fontId="1" fillId="35" borderId="11" xfId="0" applyNumberFormat="1" applyFont="1" applyFill="1" applyBorder="1" applyAlignment="1" applyProtection="1">
      <alignment horizontal="center" vertical="center"/>
      <protection locked="0"/>
    </xf>
    <xf numFmtId="4" fontId="1" fillId="0" borderId="11" xfId="0" applyNumberFormat="1" applyFont="1" applyFill="1" applyBorder="1" applyAlignment="1" applyProtection="1">
      <alignment horizontal="center" vertical="center"/>
      <protection hidden="1"/>
    </xf>
    <xf numFmtId="0" fontId="0" fillId="35" borderId="0" xfId="0" applyFont="1" applyFill="1" applyAlignment="1" applyProtection="1">
      <alignment/>
      <protection hidden="1"/>
    </xf>
    <xf numFmtId="4" fontId="0" fillId="0" borderId="0" xfId="0" applyNumberFormat="1" applyAlignment="1" applyProtection="1">
      <alignment/>
      <protection locked="0"/>
    </xf>
    <xf numFmtId="0" fontId="0" fillId="0" borderId="0" xfId="0" applyAlignment="1" applyProtection="1">
      <alignment horizontal="left" vertical="top"/>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187" fontId="11" fillId="35" borderId="0" xfId="0" applyNumberFormat="1" applyFont="1" applyFill="1" applyAlignment="1" applyProtection="1">
      <alignment horizontal="center" vertical="center"/>
      <protection hidden="1"/>
    </xf>
    <xf numFmtId="4" fontId="1" fillId="0" borderId="11" xfId="0" applyNumberFormat="1" applyFont="1" applyFill="1" applyBorder="1" applyAlignment="1" applyProtection="1">
      <alignment horizontal="center"/>
      <protection hidden="1"/>
    </xf>
    <xf numFmtId="187" fontId="0" fillId="0" borderId="0" xfId="0" applyNumberFormat="1" applyAlignment="1" applyProtection="1">
      <alignment/>
      <protection hidden="1"/>
    </xf>
    <xf numFmtId="197" fontId="0" fillId="0" borderId="11" xfId="0" applyNumberFormat="1" applyFill="1" applyBorder="1" applyAlignment="1" applyProtection="1">
      <alignment horizontal="center" vertical="center"/>
      <protection hidden="1"/>
    </xf>
    <xf numFmtId="4" fontId="0" fillId="0" borderId="0" xfId="0" applyNumberFormat="1" applyAlignment="1" applyProtection="1">
      <alignment/>
      <protection hidden="1"/>
    </xf>
    <xf numFmtId="0" fontId="0" fillId="0" borderId="0" xfId="0" applyFont="1" applyFill="1" applyAlignment="1" applyProtection="1">
      <alignment horizontal="center" vertical="center"/>
      <protection hidden="1"/>
    </xf>
    <xf numFmtId="0" fontId="0" fillId="35" borderId="0" xfId="0" applyFill="1" applyAlignment="1" applyProtection="1">
      <alignment/>
      <protection hidden="1"/>
    </xf>
    <xf numFmtId="187" fontId="6" fillId="0" borderId="27" xfId="0" applyNumberFormat="1" applyFont="1" applyBorder="1" applyAlignment="1" applyProtection="1">
      <alignment horizontal="center" vertical="center"/>
      <protection hidden="1"/>
    </xf>
    <xf numFmtId="187" fontId="6" fillId="0" borderId="28" xfId="0" applyNumberFormat="1" applyFont="1" applyBorder="1" applyAlignment="1" applyProtection="1">
      <alignment horizontal="center" vertical="center"/>
      <protection hidden="1"/>
    </xf>
    <xf numFmtId="187" fontId="6" fillId="0" borderId="16" xfId="0" applyNumberFormat="1" applyFont="1" applyBorder="1" applyAlignment="1" applyProtection="1">
      <alignment horizontal="center" vertical="center"/>
      <protection hidden="1"/>
    </xf>
    <xf numFmtId="187" fontId="6" fillId="0" borderId="29" xfId="0" applyNumberFormat="1" applyFont="1" applyBorder="1" applyAlignment="1" applyProtection="1">
      <alignment horizontal="center" vertical="center"/>
      <protection hidden="1"/>
    </xf>
    <xf numFmtId="187" fontId="6" fillId="33" borderId="27" xfId="0" applyNumberFormat="1" applyFont="1" applyFill="1" applyBorder="1" applyAlignment="1" applyProtection="1">
      <alignment horizontal="center" vertical="center"/>
      <protection locked="0"/>
    </xf>
    <xf numFmtId="187" fontId="6" fillId="0" borderId="27" xfId="0" applyNumberFormat="1" applyFont="1" applyBorder="1" applyAlignment="1" applyProtection="1">
      <alignment horizontal="center" vertical="center"/>
      <protection locked="0"/>
    </xf>
    <xf numFmtId="187" fontId="6" fillId="0" borderId="30" xfId="0" applyNumberFormat="1" applyFont="1" applyFill="1" applyBorder="1" applyAlignment="1" applyProtection="1">
      <alignment horizontal="center" vertical="center"/>
      <protection hidden="1"/>
    </xf>
    <xf numFmtId="187" fontId="6" fillId="0" borderId="29" xfId="0" applyNumberFormat="1" applyFont="1" applyFill="1" applyBorder="1" applyAlignment="1" applyProtection="1">
      <alignment horizontal="center" vertical="center"/>
      <protection hidden="1"/>
    </xf>
    <xf numFmtId="4" fontId="9" fillId="0" borderId="21" xfId="0" applyNumberFormat="1" applyFont="1" applyBorder="1" applyAlignment="1" applyProtection="1">
      <alignment horizontal="center" vertical="center"/>
      <protection hidden="1"/>
    </xf>
    <xf numFmtId="4" fontId="9" fillId="0" borderId="31" xfId="0" applyNumberFormat="1" applyFont="1" applyBorder="1" applyAlignment="1" applyProtection="1">
      <alignment horizontal="center" vertical="center"/>
      <protection hidden="1"/>
    </xf>
    <xf numFmtId="187" fontId="9" fillId="0" borderId="32" xfId="0" applyNumberFormat="1" applyFont="1" applyBorder="1" applyAlignment="1" applyProtection="1">
      <alignment horizontal="center" vertical="center"/>
      <protection hidden="1"/>
    </xf>
    <xf numFmtId="187" fontId="9" fillId="0" borderId="21" xfId="0" applyNumberFormat="1" applyFont="1" applyBorder="1" applyAlignment="1" applyProtection="1">
      <alignment horizontal="center" vertical="center"/>
      <protection hidden="1"/>
    </xf>
    <xf numFmtId="187" fontId="9" fillId="0" borderId="31" xfId="0" applyNumberFormat="1" applyFont="1" applyFill="1" applyBorder="1" applyAlignment="1" applyProtection="1">
      <alignment horizontal="center" vertical="center"/>
      <protection hidden="1"/>
    </xf>
    <xf numFmtId="187" fontId="9" fillId="0" borderId="33" xfId="0" applyNumberFormat="1" applyFont="1" applyFill="1" applyBorder="1" applyAlignment="1" applyProtection="1">
      <alignment horizontal="center" vertical="center"/>
      <protection hidden="1"/>
    </xf>
    <xf numFmtId="187" fontId="9" fillId="0" borderId="34" xfId="0" applyNumberFormat="1" applyFont="1" applyBorder="1" applyAlignment="1" applyProtection="1">
      <alignment horizontal="center" vertical="center"/>
      <protection hidden="1"/>
    </xf>
    <xf numFmtId="187" fontId="9" fillId="0" borderId="33" xfId="0" applyNumberFormat="1" applyFont="1" applyBorder="1" applyAlignment="1" applyProtection="1">
      <alignment horizontal="center" vertical="center"/>
      <protection hidden="1"/>
    </xf>
    <xf numFmtId="167" fontId="6" fillId="0" borderId="16" xfId="0" applyNumberFormat="1" applyFont="1" applyFill="1" applyBorder="1" applyAlignment="1" applyProtection="1">
      <alignment horizontal="center" vertical="center"/>
      <protection hidden="1"/>
    </xf>
    <xf numFmtId="167" fontId="6" fillId="0" borderId="29" xfId="0" applyNumberFormat="1" applyFont="1" applyFill="1" applyBorder="1" applyAlignment="1" applyProtection="1">
      <alignment horizontal="center" vertical="center"/>
      <protection hidden="1"/>
    </xf>
    <xf numFmtId="167" fontId="6" fillId="0" borderId="11" xfId="0" applyNumberFormat="1" applyFont="1" applyFill="1" applyBorder="1" applyAlignment="1" applyProtection="1">
      <alignment horizontal="center" vertical="center"/>
      <protection hidden="1"/>
    </xf>
    <xf numFmtId="167" fontId="9" fillId="0" borderId="11" xfId="0" applyNumberFormat="1" applyFont="1" applyFill="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40" borderId="11" xfId="0" applyFont="1" applyFill="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2" xfId="0" applyFont="1" applyBorder="1" applyAlignment="1" applyProtection="1">
      <alignment horizontal="center" vertical="center" wrapText="1"/>
      <protection hidden="1"/>
    </xf>
    <xf numFmtId="194" fontId="0" fillId="0" borderId="0" xfId="0" applyNumberFormat="1" applyAlignment="1" applyProtection="1">
      <alignment/>
      <protection locked="0"/>
    </xf>
    <xf numFmtId="4" fontId="6" fillId="38" borderId="11" xfId="0" applyNumberFormat="1" applyFont="1" applyFill="1" applyBorder="1" applyAlignment="1" applyProtection="1">
      <alignment/>
      <protection locked="0"/>
    </xf>
    <xf numFmtId="0" fontId="7" fillId="35" borderId="0" xfId="0" applyFont="1" applyFill="1" applyAlignment="1" applyProtection="1">
      <alignment wrapText="1"/>
      <protection hidden="1"/>
    </xf>
    <xf numFmtId="0" fontId="0" fillId="35" borderId="0" xfId="0" applyFont="1" applyFill="1" applyAlignment="1" applyProtection="1">
      <alignment wrapText="1"/>
      <protection hidden="1"/>
    </xf>
    <xf numFmtId="0" fontId="8" fillId="36"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187" fontId="0" fillId="0" borderId="0" xfId="0" applyNumberFormat="1" applyAlignment="1" applyProtection="1">
      <alignment/>
      <protection locked="0"/>
    </xf>
    <xf numFmtId="4" fontId="0" fillId="0" borderId="0" xfId="0" applyNumberFormat="1" applyFill="1" applyAlignment="1" applyProtection="1">
      <alignment/>
      <protection locked="0"/>
    </xf>
    <xf numFmtId="2" fontId="0" fillId="0" borderId="11" xfId="0" applyNumberFormat="1" applyFont="1" applyBorder="1" applyAlignment="1" applyProtection="1">
      <alignment horizontal="left" vertical="top"/>
      <protection hidden="1"/>
    </xf>
    <xf numFmtId="0" fontId="0" fillId="0" borderId="0" xfId="0" applyAlignment="1" applyProtection="1">
      <alignment vertical="center"/>
      <protection hidden="1"/>
    </xf>
    <xf numFmtId="0" fontId="7" fillId="0" borderId="0" xfId="0" applyFont="1" applyAlignment="1" applyProtection="1">
      <alignment horizontal="center" vertical="center" wrapText="1"/>
      <protection hidden="1"/>
    </xf>
    <xf numFmtId="3" fontId="1" fillId="35" borderId="11" xfId="0" applyNumberFormat="1" applyFont="1" applyFill="1" applyBorder="1" applyAlignment="1" applyProtection="1">
      <alignment horizontal="center" vertical="center"/>
      <protection locked="0"/>
    </xf>
    <xf numFmtId="0" fontId="0" fillId="36" borderId="36" xfId="0" applyFill="1" applyBorder="1" applyAlignment="1" applyProtection="1">
      <alignment horizontal="center" vertical="center"/>
      <protection locked="0"/>
    </xf>
    <xf numFmtId="0" fontId="0" fillId="36" borderId="23" xfId="0" applyFill="1" applyBorder="1" applyAlignment="1" applyProtection="1">
      <alignment horizontal="center" vertical="center"/>
      <protection locked="0"/>
    </xf>
    <xf numFmtId="0" fontId="0" fillId="36" borderId="37" xfId="0"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Font="1" applyAlignment="1" applyProtection="1">
      <alignment horizontal="center"/>
      <protection locked="0"/>
    </xf>
    <xf numFmtId="0" fontId="5" fillId="0" borderId="0" xfId="0" applyFont="1" applyBorder="1" applyAlignment="1" applyProtection="1">
      <alignment horizontal="center"/>
      <protection hidden="1"/>
    </xf>
    <xf numFmtId="0" fontId="5" fillId="0" borderId="21" xfId="0" applyFont="1" applyBorder="1" applyAlignment="1" applyProtection="1">
      <alignment horizontal="center"/>
      <protection hidden="1"/>
    </xf>
    <xf numFmtId="0" fontId="7" fillId="0" borderId="0" xfId="0" applyFont="1" applyAlignment="1" applyProtection="1">
      <alignment horizontal="center"/>
      <protection locked="0"/>
    </xf>
    <xf numFmtId="0" fontId="0" fillId="0" borderId="11" xfId="0" applyBorder="1" applyAlignment="1" applyProtection="1">
      <alignment horizontal="left" vertical="top"/>
      <protection locked="0"/>
    </xf>
    <xf numFmtId="4" fontId="5" fillId="40" borderId="16" xfId="0" applyNumberFormat="1" applyFont="1" applyFill="1" applyBorder="1" applyAlignment="1" applyProtection="1">
      <alignment horizontal="center" vertical="center" wrapText="1"/>
      <protection hidden="1"/>
    </xf>
    <xf numFmtId="4" fontId="5" fillId="40" borderId="18" xfId="0" applyNumberFormat="1" applyFont="1" applyFill="1" applyBorder="1" applyAlignment="1" applyProtection="1">
      <alignment horizontal="center" vertical="center" wrapText="1"/>
      <protection hidden="1"/>
    </xf>
    <xf numFmtId="187" fontId="9" fillId="40" borderId="16" xfId="0" applyNumberFormat="1" applyFont="1" applyFill="1" applyBorder="1" applyAlignment="1" applyProtection="1">
      <alignment horizontal="center" vertical="center"/>
      <protection hidden="1"/>
    </xf>
    <xf numFmtId="187" fontId="9" fillId="40" borderId="18" xfId="0" applyNumberFormat="1"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1" xfId="0" applyFont="1" applyBorder="1" applyAlignment="1" applyProtection="1">
      <alignment horizontal="center" vertical="center" textRotation="90" wrapText="1"/>
      <protection locked="0"/>
    </xf>
    <xf numFmtId="0" fontId="5" fillId="0" borderId="11" xfId="0" applyFont="1" applyBorder="1" applyAlignment="1" applyProtection="1">
      <alignment horizontal="center" vertical="center" textRotation="90"/>
      <protection locked="0"/>
    </xf>
    <xf numFmtId="0" fontId="7" fillId="0" borderId="11" xfId="0" applyFont="1" applyBorder="1" applyAlignment="1" applyProtection="1">
      <alignment horizontal="center"/>
      <protection locked="0"/>
    </xf>
    <xf numFmtId="0" fontId="7" fillId="0" borderId="15" xfId="0" applyFont="1" applyBorder="1" applyAlignment="1" applyProtection="1">
      <alignment horizontal="center" vertical="center" textRotation="90"/>
      <protection locked="0"/>
    </xf>
    <xf numFmtId="0" fontId="7" fillId="0" borderId="38" xfId="0" applyFont="1" applyBorder="1" applyAlignment="1" applyProtection="1">
      <alignment horizontal="center" vertical="center" textRotation="90"/>
      <protection locked="0"/>
    </xf>
    <xf numFmtId="0" fontId="7" fillId="0" borderId="39" xfId="0" applyFont="1" applyBorder="1" applyAlignment="1" applyProtection="1">
      <alignment horizontal="center" vertical="center" textRotation="90"/>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wrapText="1"/>
      <protection hidden="1"/>
    </xf>
    <xf numFmtId="0" fontId="5" fillId="0" borderId="11" xfId="0" applyFont="1" applyBorder="1" applyAlignment="1" applyProtection="1">
      <alignment horizontal="center"/>
      <protection hidden="1"/>
    </xf>
    <xf numFmtId="0" fontId="0" fillId="0" borderId="11" xfId="0" applyBorder="1" applyAlignment="1" applyProtection="1">
      <alignment horizontal="center"/>
      <protection locked="0"/>
    </xf>
    <xf numFmtId="0" fontId="0" fillId="0" borderId="0" xfId="0" applyFont="1" applyAlignment="1" applyProtection="1">
      <alignment horizontal="left"/>
      <protection locked="0"/>
    </xf>
    <xf numFmtId="0" fontId="7" fillId="0" borderId="4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5" fillId="0" borderId="40" xfId="0" applyFont="1" applyBorder="1" applyAlignment="1" applyProtection="1">
      <alignment horizontal="left" vertical="top"/>
      <protection locked="0"/>
    </xf>
    <xf numFmtId="0" fontId="5" fillId="0" borderId="43" xfId="0" applyFont="1" applyBorder="1" applyAlignment="1" applyProtection="1">
      <alignment horizontal="left" vertical="top"/>
      <protection locked="0"/>
    </xf>
    <xf numFmtId="0" fontId="5" fillId="0" borderId="41" xfId="0" applyFont="1" applyBorder="1" applyAlignment="1" applyProtection="1">
      <alignment horizontal="left" vertical="top"/>
      <protection locked="0"/>
    </xf>
    <xf numFmtId="0" fontId="5" fillId="0" borderId="42"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44" xfId="0" applyFont="1" applyBorder="1" applyAlignment="1" applyProtection="1">
      <alignment horizontal="left" vertical="top"/>
      <protection locked="0"/>
    </xf>
    <xf numFmtId="0" fontId="7" fillId="0" borderId="40"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 fillId="0" borderId="15" xfId="0" applyFont="1" applyBorder="1" applyAlignment="1" applyProtection="1">
      <alignment horizontal="left" vertical="top"/>
      <protection locked="0"/>
    </xf>
    <xf numFmtId="0" fontId="1" fillId="0" borderId="38" xfId="0" applyFont="1" applyBorder="1" applyAlignment="1" applyProtection="1">
      <alignment horizontal="left" vertical="top"/>
      <protection locked="0"/>
    </xf>
    <xf numFmtId="0" fontId="1" fillId="0" borderId="39" xfId="0" applyFont="1" applyBorder="1" applyAlignment="1" applyProtection="1">
      <alignment horizontal="left" vertical="top"/>
      <protection locked="0"/>
    </xf>
    <xf numFmtId="0" fontId="11" fillId="0" borderId="0" xfId="0" applyFont="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197" fontId="7" fillId="0" borderId="16" xfId="0" applyNumberFormat="1" applyFont="1" applyBorder="1" applyAlignment="1" applyProtection="1">
      <alignment horizontal="center" vertical="center"/>
      <protection hidden="1"/>
    </xf>
    <xf numFmtId="197" fontId="7" fillId="0" borderId="18" xfId="0" applyNumberFormat="1" applyFont="1" applyBorder="1" applyAlignment="1" applyProtection="1">
      <alignment horizontal="center" vertical="center"/>
      <protection hidden="1"/>
    </xf>
    <xf numFmtId="0" fontId="8" fillId="0" borderId="16"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6">
    <dxf>
      <fill>
        <patternFill>
          <bgColor rgb="FFFFFF00"/>
        </patternFill>
      </fill>
    </dxf>
    <dxf>
      <fill>
        <patternFill>
          <bgColor rgb="FFFFFF00"/>
        </patternFill>
      </fill>
    </dxf>
    <dxf>
      <fill>
        <patternFill>
          <bgColor theme="0" tint="-0.24993999302387238"/>
        </patternFill>
      </fill>
    </dxf>
    <dxf>
      <fill>
        <patternFill>
          <bgColor theme="0" tint="-0.149959996342659"/>
        </patternFill>
      </fill>
    </dxf>
    <dxf>
      <fill>
        <patternFill>
          <bgColor theme="0" tint="-0.149959996342659"/>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cimemur.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ayfa1">
    <tabColor rgb="FF00B0F0"/>
  </sheetPr>
  <dimension ref="A1:AG193"/>
  <sheetViews>
    <sheetView zoomScalePageLayoutView="0" workbookViewId="0" topLeftCell="A1">
      <selection activeCell="C14" sqref="C14"/>
    </sheetView>
  </sheetViews>
  <sheetFormatPr defaultColWidth="9.140625" defaultRowHeight="12.75"/>
  <cols>
    <col min="1" max="1" width="40.28125" style="3" customWidth="1"/>
    <col min="2" max="2" width="11.140625" style="3" bestFit="1" customWidth="1"/>
    <col min="3" max="3" width="11.28125" style="3" bestFit="1" customWidth="1"/>
    <col min="4" max="4" width="44.7109375" style="3" customWidth="1"/>
    <col min="5" max="5" width="10.140625" style="3" bestFit="1" customWidth="1"/>
    <col min="6" max="6" width="32.57421875" style="3" customWidth="1"/>
    <col min="7" max="7" width="13.421875" style="3" customWidth="1"/>
    <col min="8" max="8" width="9.140625" style="3" customWidth="1"/>
    <col min="9" max="9" width="15.7109375" style="3" customWidth="1"/>
    <col min="10" max="17" width="9.140625" style="3" hidden="1" customWidth="1"/>
    <col min="18" max="18" width="21.00390625" style="3" hidden="1" customWidth="1"/>
    <col min="19" max="22" width="9.140625" style="3" hidden="1" customWidth="1"/>
    <col min="23" max="23" width="32.57421875" style="3" hidden="1" customWidth="1"/>
    <col min="24" max="28" width="9.140625" style="3" customWidth="1"/>
    <col min="29" max="31" width="0" style="3" hidden="1" customWidth="1"/>
    <col min="32" max="16384" width="9.140625" style="3" customWidth="1"/>
  </cols>
  <sheetData>
    <row r="1" spans="1:12" ht="44.25" customHeight="1" thickBot="1">
      <c r="A1" s="170" t="s">
        <v>46</v>
      </c>
      <c r="B1" s="171"/>
      <c r="C1" s="171"/>
      <c r="D1" s="172"/>
      <c r="E1" s="2"/>
      <c r="F1" s="2"/>
      <c r="G1" s="2"/>
      <c r="L1" s="3" t="e">
        <f>+L:VL:ZL:YL:X</f>
        <v>#NAME?</v>
      </c>
    </row>
    <row r="2" ht="12.75"/>
    <row r="3" spans="1:9" ht="27" customHeight="1">
      <c r="A3" s="53" t="s">
        <v>134</v>
      </c>
      <c r="B3" s="54">
        <v>0.760871</v>
      </c>
      <c r="G3" s="173"/>
      <c r="H3" s="173"/>
      <c r="I3" s="173"/>
    </row>
    <row r="4" ht="12.75"/>
    <row r="5" spans="6:23" ht="12.75">
      <c r="F5" s="2"/>
      <c r="G5" s="2"/>
      <c r="H5" s="2"/>
      <c r="I5" s="2"/>
      <c r="J5" s="2"/>
      <c r="K5" s="36"/>
      <c r="L5" s="36"/>
      <c r="M5" s="36"/>
      <c r="N5" s="64" t="s">
        <v>47</v>
      </c>
      <c r="O5" s="36"/>
      <c r="P5" s="36"/>
      <c r="Q5" s="36"/>
      <c r="R5" s="36"/>
      <c r="S5" s="36"/>
      <c r="T5" s="36"/>
      <c r="U5" s="36"/>
      <c r="W5" s="123" t="s">
        <v>114</v>
      </c>
    </row>
    <row r="6" spans="1:30" s="56" customFormat="1" ht="25.5" customHeight="1">
      <c r="A6" s="55" t="s">
        <v>9</v>
      </c>
      <c r="C6" s="73">
        <v>666.75</v>
      </c>
      <c r="D6" s="49">
        <v>30</v>
      </c>
      <c r="E6" s="49">
        <f>C6*D6</f>
        <v>20002.5</v>
      </c>
      <c r="F6" s="2"/>
      <c r="G6" s="2"/>
      <c r="H6" s="2"/>
      <c r="I6" s="2"/>
      <c r="J6" s="2"/>
      <c r="K6" s="49"/>
      <c r="L6" s="49"/>
      <c r="M6" s="49"/>
      <c r="N6" s="65" t="s">
        <v>46</v>
      </c>
      <c r="O6" s="58"/>
      <c r="P6" s="58"/>
      <c r="Q6" s="58"/>
      <c r="R6" s="49" t="s">
        <v>24</v>
      </c>
      <c r="S6" s="49">
        <f>IF(A1=N6,1,IF(A1=N7,2,IF(A1=N5,3)))</f>
        <v>1</v>
      </c>
      <c r="T6" s="49"/>
      <c r="U6" s="49"/>
      <c r="W6" s="123" t="s">
        <v>115</v>
      </c>
      <c r="AD6" s="56" t="s">
        <v>133</v>
      </c>
    </row>
    <row r="7" spans="6:21" ht="12.75">
      <c r="F7" s="2"/>
      <c r="G7" s="2"/>
      <c r="H7" s="2"/>
      <c r="I7" s="2"/>
      <c r="J7" s="2"/>
      <c r="K7" s="36"/>
      <c r="L7" s="36"/>
      <c r="M7" s="36"/>
      <c r="N7" s="121" t="s">
        <v>127</v>
      </c>
      <c r="O7" s="59"/>
      <c r="P7" s="59"/>
      <c r="Q7" s="59"/>
      <c r="R7" s="36"/>
      <c r="S7" s="36"/>
      <c r="T7" s="36"/>
      <c r="U7" s="36"/>
    </row>
    <row r="8" spans="4:21" ht="12.75">
      <c r="D8" s="2"/>
      <c r="E8" s="2"/>
      <c r="F8" s="2"/>
      <c r="G8" s="2"/>
      <c r="H8" s="2"/>
      <c r="I8" s="2"/>
      <c r="J8" s="2"/>
      <c r="K8" s="36"/>
      <c r="L8" s="36"/>
      <c r="M8" s="36"/>
      <c r="N8" s="59"/>
      <c r="O8" s="59"/>
      <c r="P8" s="59"/>
      <c r="Q8" s="59"/>
      <c r="R8" s="36"/>
      <c r="S8" s="36"/>
      <c r="T8" s="36"/>
      <c r="U8" s="36"/>
    </row>
    <row r="9" spans="4:21" ht="12.75">
      <c r="D9" s="2"/>
      <c r="E9" s="2"/>
      <c r="F9" s="2"/>
      <c r="G9" s="2"/>
      <c r="H9" s="2"/>
      <c r="I9" s="2"/>
      <c r="J9" s="2"/>
      <c r="K9" s="36"/>
      <c r="L9" s="36"/>
      <c r="M9" s="36"/>
      <c r="N9" s="59"/>
      <c r="O9" s="59"/>
      <c r="P9" s="59"/>
      <c r="Q9" s="59"/>
      <c r="R9" s="36"/>
      <c r="S9" s="36"/>
      <c r="T9" s="36"/>
      <c r="U9" s="36"/>
    </row>
    <row r="10" spans="1:21" ht="24" customHeight="1">
      <c r="A10" s="115" t="s">
        <v>138</v>
      </c>
      <c r="B10" s="77" t="s">
        <v>115</v>
      </c>
      <c r="C10" s="78"/>
      <c r="D10" s="2"/>
      <c r="E10" s="2"/>
      <c r="F10" s="2"/>
      <c r="G10" s="2"/>
      <c r="H10" s="2"/>
      <c r="I10" s="2"/>
      <c r="J10" s="2"/>
      <c r="K10" s="36"/>
      <c r="L10" s="36"/>
      <c r="M10" s="36"/>
      <c r="N10" s="36"/>
      <c r="O10" s="36"/>
      <c r="P10" s="36"/>
      <c r="Q10" s="36"/>
      <c r="R10" s="36"/>
      <c r="S10" s="36"/>
      <c r="T10" s="36"/>
      <c r="U10" s="36"/>
    </row>
    <row r="11" spans="1:21" ht="32.25" customHeight="1">
      <c r="A11" s="97" t="s">
        <v>139</v>
      </c>
      <c r="B11" s="109" t="s">
        <v>115</v>
      </c>
      <c r="C11" s="36"/>
      <c r="D11" s="2"/>
      <c r="E11" s="2"/>
      <c r="F11" s="2"/>
      <c r="G11" s="2"/>
      <c r="H11" s="2"/>
      <c r="I11" s="2"/>
      <c r="J11" s="2"/>
      <c r="K11" s="36"/>
      <c r="L11" s="36"/>
      <c r="M11" s="36"/>
      <c r="N11" s="36"/>
      <c r="O11" s="36"/>
      <c r="P11" s="36"/>
      <c r="Q11" s="36"/>
      <c r="R11" s="36"/>
      <c r="S11" s="36"/>
      <c r="T11" s="36"/>
      <c r="U11" s="36"/>
    </row>
    <row r="12" spans="1:21" ht="42" customHeight="1">
      <c r="A12" s="57" t="s">
        <v>43</v>
      </c>
      <c r="B12" s="72">
        <v>40439.32</v>
      </c>
      <c r="C12" s="36"/>
      <c r="D12" s="167"/>
      <c r="E12" s="2"/>
      <c r="F12" s="2"/>
      <c r="G12" s="36"/>
      <c r="H12" s="36"/>
      <c r="I12" s="36"/>
      <c r="J12" s="36"/>
      <c r="K12" s="36"/>
      <c r="L12" s="36"/>
      <c r="M12" s="36"/>
      <c r="N12" s="36"/>
      <c r="O12" s="36"/>
      <c r="P12" s="36"/>
      <c r="Q12" s="36"/>
      <c r="R12" s="36"/>
      <c r="S12" s="36"/>
      <c r="T12" s="36"/>
      <c r="U12" s="36"/>
    </row>
    <row r="13" spans="1:21" ht="50.25" customHeight="1">
      <c r="A13" s="60" t="s">
        <v>48</v>
      </c>
      <c r="B13" s="72">
        <v>2550.32</v>
      </c>
      <c r="C13" s="78"/>
      <c r="D13" s="167"/>
      <c r="E13" s="2"/>
      <c r="F13" s="2"/>
      <c r="G13" s="36"/>
      <c r="H13" s="36"/>
      <c r="I13" s="36"/>
      <c r="J13" s="36"/>
      <c r="K13" s="36"/>
      <c r="L13" s="36"/>
      <c r="M13" s="36"/>
      <c r="N13" s="36"/>
      <c r="O13" s="36"/>
      <c r="P13" s="36"/>
      <c r="Q13" s="36"/>
      <c r="R13" s="36"/>
      <c r="S13" s="36"/>
      <c r="T13" s="36"/>
      <c r="U13" s="36"/>
    </row>
    <row r="14" spans="1:21" ht="61.5" customHeight="1">
      <c r="A14" s="60" t="s">
        <v>49</v>
      </c>
      <c r="B14" s="72">
        <v>151.82</v>
      </c>
      <c r="C14" s="36"/>
      <c r="D14" s="167"/>
      <c r="E14" s="2"/>
      <c r="F14" s="2"/>
      <c r="G14" s="36"/>
      <c r="H14" s="36"/>
      <c r="I14" s="36"/>
      <c r="J14" s="36"/>
      <c r="K14" s="36"/>
      <c r="L14" s="36"/>
      <c r="M14" s="36"/>
      <c r="N14" s="36"/>
      <c r="O14" s="36"/>
      <c r="P14" s="36"/>
      <c r="Q14" s="36"/>
      <c r="R14" s="36"/>
      <c r="S14" s="36"/>
      <c r="T14" s="36"/>
      <c r="U14" s="36"/>
    </row>
    <row r="15" spans="1:21" ht="12.75">
      <c r="A15" s="116" t="s">
        <v>131</v>
      </c>
      <c r="B15" s="117">
        <v>0.09</v>
      </c>
      <c r="C15" s="36"/>
      <c r="D15" s="76"/>
      <c r="E15" s="76"/>
      <c r="G15" s="36"/>
      <c r="H15" s="36"/>
      <c r="I15" s="36"/>
      <c r="J15" s="36"/>
      <c r="K15" s="36"/>
      <c r="L15" s="36"/>
      <c r="M15" s="36"/>
      <c r="N15" s="36"/>
      <c r="O15" s="36"/>
      <c r="P15" s="36"/>
      <c r="Q15" s="36"/>
      <c r="R15" s="36"/>
      <c r="S15" s="36"/>
      <c r="T15" s="36"/>
      <c r="U15" s="36"/>
    </row>
    <row r="16" spans="1:21" ht="12.75">
      <c r="A16" s="116" t="s">
        <v>129</v>
      </c>
      <c r="B16" s="117">
        <v>0.05</v>
      </c>
      <c r="G16" s="36"/>
      <c r="H16" s="36"/>
      <c r="I16" s="36"/>
      <c r="J16" s="36"/>
      <c r="K16" s="36"/>
      <c r="L16" s="36"/>
      <c r="M16" s="36"/>
      <c r="N16" s="36"/>
      <c r="O16" s="36"/>
      <c r="P16" s="36"/>
      <c r="Q16" s="36"/>
      <c r="R16" s="36"/>
      <c r="S16" s="36"/>
      <c r="T16" s="36"/>
      <c r="U16" s="36"/>
    </row>
    <row r="17" spans="1:21" ht="12.75">
      <c r="A17" s="116" t="s">
        <v>132</v>
      </c>
      <c r="B17" s="117">
        <v>0.11</v>
      </c>
      <c r="L17" s="36"/>
      <c r="M17" s="36"/>
      <c r="N17" s="36"/>
      <c r="O17" s="36"/>
      <c r="P17" s="36"/>
      <c r="Q17" s="36"/>
      <c r="R17" s="36"/>
      <c r="S17" s="36"/>
      <c r="T17" s="36"/>
      <c r="U17" s="36"/>
    </row>
    <row r="18" spans="1:21" ht="12.75">
      <c r="A18" s="116" t="s">
        <v>130</v>
      </c>
      <c r="B18" s="117">
        <v>0.075</v>
      </c>
      <c r="L18" s="36"/>
      <c r="M18" s="36"/>
      <c r="N18" s="36"/>
      <c r="O18" s="36"/>
      <c r="P18" s="36"/>
      <c r="Q18" s="36"/>
      <c r="R18" s="36"/>
      <c r="S18" s="36"/>
      <c r="T18" s="36"/>
      <c r="U18" s="36"/>
    </row>
    <row r="19" spans="1:21" ht="26.25" customHeight="1">
      <c r="A19" s="61" t="s">
        <v>50</v>
      </c>
      <c r="L19" s="36"/>
      <c r="M19" s="36"/>
      <c r="N19" s="36"/>
      <c r="O19" s="36"/>
      <c r="P19" s="36"/>
      <c r="Q19" s="36"/>
      <c r="R19" s="36"/>
      <c r="S19" s="36"/>
      <c r="T19" s="36"/>
      <c r="U19" s="36"/>
    </row>
    <row r="20" ht="54" customHeight="1">
      <c r="A20" s="160" t="s">
        <v>135</v>
      </c>
    </row>
    <row r="21" ht="25.5">
      <c r="A21" s="161" t="s">
        <v>136</v>
      </c>
    </row>
    <row r="22" ht="12.75">
      <c r="A22" s="132" t="s">
        <v>137</v>
      </c>
    </row>
    <row r="23" ht="18">
      <c r="A23" s="61"/>
    </row>
    <row r="24" ht="12.75"/>
    <row r="25" ht="12.75"/>
    <row r="26" ht="12.75"/>
    <row r="27" ht="12.75"/>
    <row r="28" ht="12.75"/>
    <row r="29" ht="12.75"/>
    <row r="30" ht="12.75"/>
    <row r="68" ht="12.75">
      <c r="AG68" s="5" t="s">
        <v>114</v>
      </c>
    </row>
    <row r="69" ht="12.75">
      <c r="AG69" s="5" t="s">
        <v>115</v>
      </c>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c r="AG90" s="36">
        <v>30</v>
      </c>
    </row>
    <row r="91" ht="15" customHeight="1">
      <c r="AG91" s="36">
        <v>31</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64" ht="12.75" hidden="1">
      <c r="I164" s="36">
        <v>1</v>
      </c>
    </row>
    <row r="165" ht="12.75" hidden="1">
      <c r="I165" s="36">
        <v>2</v>
      </c>
    </row>
    <row r="166" ht="12.75" hidden="1">
      <c r="I166" s="36">
        <v>3</v>
      </c>
    </row>
    <row r="167" ht="12.75" hidden="1">
      <c r="I167" s="36">
        <v>4</v>
      </c>
    </row>
    <row r="168" ht="12.75" hidden="1">
      <c r="I168" s="36">
        <v>5</v>
      </c>
    </row>
    <row r="169" ht="12.75" hidden="1">
      <c r="I169" s="36">
        <v>6</v>
      </c>
    </row>
    <row r="170" ht="12.75" hidden="1">
      <c r="I170" s="36">
        <v>7</v>
      </c>
    </row>
    <row r="171" ht="12.75" hidden="1">
      <c r="I171" s="36">
        <v>8</v>
      </c>
    </row>
    <row r="172" ht="12.75" hidden="1">
      <c r="I172" s="36">
        <v>9</v>
      </c>
    </row>
    <row r="173" ht="12.75" hidden="1">
      <c r="I173" s="36">
        <v>10</v>
      </c>
    </row>
    <row r="174" ht="12.75" hidden="1">
      <c r="I174" s="36">
        <v>11</v>
      </c>
    </row>
    <row r="175" ht="12.75" hidden="1">
      <c r="I175" s="36">
        <v>12</v>
      </c>
    </row>
    <row r="176" ht="12.75" hidden="1">
      <c r="I176" s="36">
        <v>13</v>
      </c>
    </row>
    <row r="177" ht="12.75" hidden="1">
      <c r="I177" s="36">
        <v>14</v>
      </c>
    </row>
    <row r="178" ht="12.75" hidden="1">
      <c r="I178" s="36">
        <v>15</v>
      </c>
    </row>
    <row r="179" ht="12.75" hidden="1">
      <c r="I179" s="36">
        <v>16</v>
      </c>
    </row>
    <row r="180" ht="12.75" hidden="1">
      <c r="I180" s="36">
        <v>17</v>
      </c>
    </row>
    <row r="181" ht="12.75" hidden="1">
      <c r="I181" s="36">
        <v>18</v>
      </c>
    </row>
    <row r="182" ht="12.75" hidden="1">
      <c r="I182" s="36">
        <v>19</v>
      </c>
    </row>
    <row r="183" ht="12.75" hidden="1">
      <c r="I183" s="36">
        <v>20</v>
      </c>
    </row>
    <row r="184" ht="12.75" hidden="1">
      <c r="I184" s="36">
        <v>21</v>
      </c>
    </row>
    <row r="185" ht="12.75" hidden="1">
      <c r="I185" s="36">
        <v>22</v>
      </c>
    </row>
    <row r="186" ht="12.75" hidden="1">
      <c r="I186" s="36">
        <v>23</v>
      </c>
    </row>
    <row r="187" ht="12.75" hidden="1">
      <c r="I187" s="36">
        <v>24</v>
      </c>
    </row>
    <row r="188" ht="12.75" hidden="1">
      <c r="I188" s="36">
        <v>25</v>
      </c>
    </row>
    <row r="189" ht="12.75" hidden="1">
      <c r="I189" s="36">
        <v>26</v>
      </c>
    </row>
    <row r="190" ht="12.75" hidden="1">
      <c r="I190" s="36">
        <v>27</v>
      </c>
    </row>
    <row r="191" ht="12.75" hidden="1">
      <c r="I191" s="36">
        <v>28</v>
      </c>
    </row>
    <row r="192" ht="12.75" hidden="1">
      <c r="I192" s="36">
        <v>29</v>
      </c>
    </row>
    <row r="193" ht="12.75" hidden="1">
      <c r="I193" s="36">
        <v>30</v>
      </c>
    </row>
    <row r="194" ht="12.75" hidden="1"/>
    <row r="195" ht="12.75" hidden="1"/>
    <row r="196" ht="12.75" hidden="1"/>
    <row r="197" ht="12.75" hidden="1"/>
    <row r="198" ht="12.75" hidden="1"/>
  </sheetData>
  <sheetProtection password="C649" sheet="1" formatCells="0" formatColumns="0" formatRows="0" insertColumns="0" insertRows="0" insertHyperlinks="0" deleteColumns="0" deleteRows="0" sort="0" autoFilter="0" pivotTables="0"/>
  <mergeCells count="2">
    <mergeCell ref="A1:D1"/>
    <mergeCell ref="G3:I3"/>
  </mergeCells>
  <conditionalFormatting sqref="D12:D14">
    <cfRule type="cellIs" priority="1" dxfId="5" operator="equal" stopIfTrue="1">
      <formula>""" """</formula>
    </cfRule>
  </conditionalFormatting>
  <dataValidations count="3">
    <dataValidation type="list" allowBlank="1" showInputMessage="1" showErrorMessage="1" sqref="A1:D1">
      <formula1>$N$5:$N$7</formula1>
    </dataValidation>
    <dataValidation type="list" allowBlank="1" showInputMessage="1" showErrorMessage="1" sqref="B11">
      <formula1>$AG$68:$AG$69</formula1>
    </dataValidation>
    <dataValidation type="list" allowBlank="1" showInputMessage="1" showErrorMessage="1" sqref="B10">
      <formula1>$W$5:$W$6</formula1>
    </dataValidation>
  </dataValidations>
  <hyperlinks>
    <hyperlink ref="A19" r:id="rId1" display="https://iscimemur.net/"/>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sheetPr codeName="Sayfa2">
    <tabColor rgb="FFC00000"/>
    <pageSetUpPr fitToPage="1"/>
  </sheetPr>
  <dimension ref="A1:V151"/>
  <sheetViews>
    <sheetView tabSelected="1" zoomScalePageLayoutView="0" workbookViewId="0" topLeftCell="A28">
      <selection activeCell="E52" sqref="E52:I58"/>
    </sheetView>
  </sheetViews>
  <sheetFormatPr defaultColWidth="9.140625" defaultRowHeight="12.75"/>
  <cols>
    <col min="1" max="1" width="3.140625" style="6" customWidth="1"/>
    <col min="2" max="2" width="32.7109375" style="3" customWidth="1"/>
    <col min="3" max="3" width="8.8515625" style="3" customWidth="1"/>
    <col min="4" max="4" width="14.8515625" style="7" customWidth="1"/>
    <col min="5" max="5" width="12.00390625" style="3" customWidth="1"/>
    <col min="6" max="6" width="25.421875" style="3" customWidth="1"/>
    <col min="7" max="7" width="22.00390625" style="3" customWidth="1"/>
    <col min="8" max="8" width="19.7109375" style="3" customWidth="1"/>
    <col min="9" max="9" width="16.7109375" style="3" customWidth="1"/>
    <col min="10" max="13" width="9.140625" style="3" customWidth="1"/>
    <col min="14" max="14" width="10.7109375" style="3" bestFit="1" customWidth="1"/>
    <col min="15" max="15" width="9.140625" style="3" customWidth="1"/>
    <col min="16" max="16384" width="9.140625" style="3" customWidth="1"/>
  </cols>
  <sheetData>
    <row r="1" spans="2:9" ht="39" customHeight="1">
      <c r="B1" s="106" t="s">
        <v>141</v>
      </c>
      <c r="C1" s="162">
        <v>19</v>
      </c>
      <c r="F1" s="202"/>
      <c r="G1" s="202"/>
      <c r="H1" s="202"/>
      <c r="I1" s="110"/>
    </row>
    <row r="2" spans="2:9" ht="39.75" customHeight="1">
      <c r="B2" s="168" t="s">
        <v>140</v>
      </c>
      <c r="C2" s="163">
        <v>31</v>
      </c>
      <c r="E2" s="212" t="s">
        <v>77</v>
      </c>
      <c r="F2" s="213"/>
      <c r="G2" s="213"/>
      <c r="H2" s="213"/>
      <c r="I2" s="214"/>
    </row>
    <row r="3" spans="2:9" ht="12.75">
      <c r="B3" s="107" t="s">
        <v>8</v>
      </c>
      <c r="C3" s="107">
        <f>C2-C1</f>
        <v>12</v>
      </c>
      <c r="E3" s="203"/>
      <c r="F3" s="204"/>
      <c r="G3" s="204"/>
      <c r="H3" s="204"/>
      <c r="I3" s="205"/>
    </row>
    <row r="4" spans="2:9" ht="12.75">
      <c r="B4" s="4"/>
      <c r="E4" s="203" t="s">
        <v>97</v>
      </c>
      <c r="F4" s="204"/>
      <c r="G4" s="204"/>
      <c r="H4" s="204"/>
      <c r="I4" s="205"/>
    </row>
    <row r="5" spans="2:9" ht="15.75" customHeight="1">
      <c r="B5" s="8"/>
      <c r="C5" s="8"/>
      <c r="D5" s="8"/>
      <c r="E5" s="215" t="s">
        <v>84</v>
      </c>
      <c r="F5" s="216"/>
      <c r="G5" s="216"/>
      <c r="H5" s="216"/>
      <c r="I5" s="217"/>
    </row>
    <row r="6" spans="2:9" ht="15.75" customHeight="1">
      <c r="B6" s="8"/>
      <c r="C6" s="8"/>
      <c r="D6" s="8"/>
      <c r="E6" s="188" t="s">
        <v>85</v>
      </c>
      <c r="F6" s="189"/>
      <c r="G6" s="82"/>
      <c r="H6" s="83" t="s">
        <v>91</v>
      </c>
      <c r="I6" s="103"/>
    </row>
    <row r="7" spans="2:9" ht="12.75">
      <c r="B7" s="9"/>
      <c r="C7" s="10"/>
      <c r="D7" s="9"/>
      <c r="E7" s="188" t="s">
        <v>86</v>
      </c>
      <c r="F7" s="189"/>
      <c r="G7" s="84"/>
      <c r="H7" s="83" t="s">
        <v>91</v>
      </c>
      <c r="I7" s="111"/>
    </row>
    <row r="8" spans="2:9" ht="12.75">
      <c r="B8" s="11"/>
      <c r="C8" s="12"/>
      <c r="D8" s="13"/>
      <c r="E8" s="188" t="s">
        <v>87</v>
      </c>
      <c r="F8" s="189"/>
      <c r="G8" s="84"/>
      <c r="H8" s="83" t="s">
        <v>92</v>
      </c>
      <c r="I8" s="111"/>
    </row>
    <row r="9" spans="2:9" ht="33.75">
      <c r="B9" s="67" t="s">
        <v>72</v>
      </c>
      <c r="C9" s="67" t="s">
        <v>73</v>
      </c>
      <c r="D9" s="108" t="s">
        <v>121</v>
      </c>
      <c r="E9" s="188" t="s">
        <v>88</v>
      </c>
      <c r="F9" s="189"/>
      <c r="G9" s="84"/>
      <c r="H9" s="83" t="s">
        <v>93</v>
      </c>
      <c r="I9" s="111"/>
    </row>
    <row r="10" spans="2:9" ht="12.75">
      <c r="B10" s="14"/>
      <c r="C10" s="66">
        <f>C2</f>
        <v>31</v>
      </c>
      <c r="D10" s="118"/>
      <c r="E10" s="188" t="s">
        <v>89</v>
      </c>
      <c r="F10" s="189"/>
      <c r="G10" s="84"/>
      <c r="H10" s="83" t="s">
        <v>94</v>
      </c>
      <c r="I10" s="112"/>
    </row>
    <row r="11" spans="2:9" ht="12.75">
      <c r="B11" s="68" t="s">
        <v>28</v>
      </c>
      <c r="C11" s="69">
        <v>464.13</v>
      </c>
      <c r="D11" s="120" t="s">
        <v>122</v>
      </c>
      <c r="E11" s="206" t="s">
        <v>90</v>
      </c>
      <c r="F11" s="207"/>
      <c r="G11" s="218"/>
      <c r="H11" s="83" t="s">
        <v>95</v>
      </c>
      <c r="I11" s="112"/>
    </row>
    <row r="12" spans="2:9" ht="12.75">
      <c r="B12" s="68" t="s">
        <v>29</v>
      </c>
      <c r="C12" s="69">
        <v>15.22</v>
      </c>
      <c r="D12" s="120" t="s">
        <v>122</v>
      </c>
      <c r="E12" s="208"/>
      <c r="F12" s="209"/>
      <c r="G12" s="219"/>
      <c r="H12" s="83" t="s">
        <v>96</v>
      </c>
      <c r="I12" s="113"/>
    </row>
    <row r="13" spans="2:9" ht="12.75">
      <c r="B13" s="68" t="s">
        <v>25</v>
      </c>
      <c r="C13" s="69">
        <v>11909.08</v>
      </c>
      <c r="D13" s="120" t="s">
        <v>122</v>
      </c>
      <c r="E13" s="210"/>
      <c r="F13" s="211"/>
      <c r="G13" s="220"/>
      <c r="H13" s="83" t="s">
        <v>98</v>
      </c>
      <c r="I13" s="153">
        <f>PARAMETRELER!B13</f>
        <v>2550.32</v>
      </c>
    </row>
    <row r="14" spans="2:16" ht="12.75">
      <c r="B14" s="68" t="s">
        <v>26</v>
      </c>
      <c r="C14" s="69">
        <v>0</v>
      </c>
      <c r="D14" s="120" t="s">
        <v>122</v>
      </c>
      <c r="E14" s="192" t="s">
        <v>99</v>
      </c>
      <c r="F14" s="192"/>
      <c r="G14" s="192"/>
      <c r="H14" s="192"/>
      <c r="I14" s="192"/>
      <c r="P14" s="5"/>
    </row>
    <row r="15" spans="2:16" ht="12.75">
      <c r="B15" s="68" t="s">
        <v>27</v>
      </c>
      <c r="C15" s="69">
        <v>0</v>
      </c>
      <c r="D15" s="119" t="s">
        <v>123</v>
      </c>
      <c r="E15" s="192"/>
      <c r="F15" s="192"/>
      <c r="G15" s="192"/>
      <c r="H15" s="192"/>
      <c r="I15" s="192"/>
      <c r="P15" s="5"/>
    </row>
    <row r="16" spans="2:9" ht="12.75" customHeight="1">
      <c r="B16" s="68" t="s">
        <v>30</v>
      </c>
      <c r="C16" s="69">
        <v>120.65</v>
      </c>
      <c r="D16" s="120" t="s">
        <v>122</v>
      </c>
      <c r="E16" s="201"/>
      <c r="F16" s="201"/>
      <c r="G16" s="199" t="s">
        <v>100</v>
      </c>
      <c r="H16" s="199" t="s">
        <v>101</v>
      </c>
      <c r="I16" s="199"/>
    </row>
    <row r="17" spans="2:14" ht="31.5" customHeight="1">
      <c r="B17" s="68" t="s">
        <v>31</v>
      </c>
      <c r="C17" s="69">
        <v>3541.85</v>
      </c>
      <c r="D17" s="120" t="s">
        <v>122</v>
      </c>
      <c r="E17" s="201"/>
      <c r="F17" s="201"/>
      <c r="G17" s="200"/>
      <c r="H17" s="200"/>
      <c r="I17" s="199"/>
      <c r="M17" s="7"/>
      <c r="N17" s="7"/>
    </row>
    <row r="18" spans="2:14" ht="12.75" customHeight="1">
      <c r="B18" s="68" t="s">
        <v>32</v>
      </c>
      <c r="C18" s="69">
        <v>0</v>
      </c>
      <c r="D18" s="120" t="s">
        <v>122</v>
      </c>
      <c r="E18" s="193" t="s">
        <v>102</v>
      </c>
      <c r="F18" s="85" t="str">
        <f aca="true" t="shared" si="0" ref="F18:G24">B11</f>
        <v>GÖSTERGE AYLIGI ( GV+DG+SGK)</v>
      </c>
      <c r="G18" s="133">
        <f t="shared" si="0"/>
        <v>464.13</v>
      </c>
      <c r="H18" s="133">
        <f>ROUND(IF(PARAMETRELER!$A$1="AÇIGA ALINMA",ROUND(G18/$C$2*$C$1,2)+ROUND((G18-G18/$C$2*$C$1)*2/3,2),IF(PARAMETRELER!$A$1="GÖREVİNE SON VERİLDİ &amp; ASKER (BAKMAKLA YÜKÜMLÜ YOK) &amp; İSTİFA &amp; SEÇİM NED.İSTİFA",ROUND(G18/$C$2*$C$1,2),IF(PARAMETRELER!$A$1="ASKER (BAKMAKLA YÜK.OLAN)&amp; ÜCRETSİZ İZİN",ROUND(G18/$C$2*$C$1,2),))),2)</f>
        <v>284.47</v>
      </c>
      <c r="I18" s="134">
        <f>G18-H18</f>
        <v>179.65999999999997</v>
      </c>
      <c r="M18" s="124"/>
      <c r="N18" s="7"/>
    </row>
    <row r="19" spans="2:16" ht="12.75">
      <c r="B19" s="68" t="s">
        <v>33</v>
      </c>
      <c r="C19" s="69">
        <v>0</v>
      </c>
      <c r="D19" s="120" t="s">
        <v>122</v>
      </c>
      <c r="E19" s="194"/>
      <c r="F19" s="86" t="str">
        <f t="shared" si="0"/>
        <v>KIDEM AYLIĞI ( GV+DG+SGK)</v>
      </c>
      <c r="G19" s="135">
        <f t="shared" si="0"/>
        <v>15.22</v>
      </c>
      <c r="H19" s="133">
        <f>ROUND(IF(PARAMETRELER!$A$1="AÇIGA ALINMA",ROUND(G19/$C$2*$C$1,2)+ROUND((G19-G19/$C$2*$C$1)*2/3,2),IF(PARAMETRELER!$A$1="GÖREVİNE SON VERİLDİ &amp; ASKER (BAKMAKLA YÜKÜMLÜ YOK) &amp; İSTİFA &amp; SEÇİM NED.İSTİFA",ROUND(G19/$C$2*$C$1,2),IF(PARAMETRELER!$A$1="ASKER (BAKMAKLA YÜK.OLAN)&amp; ÜCRETSİZ İZİN",ROUND(G19/$C$2*$C$1,2),))),2)</f>
        <v>9.33</v>
      </c>
      <c r="I19" s="136">
        <f aca="true" t="shared" si="1" ref="I19:I34">G19-H19</f>
        <v>5.890000000000001</v>
      </c>
      <c r="L19" s="7"/>
      <c r="M19" s="131"/>
      <c r="N19" s="7"/>
      <c r="O19" s="7"/>
      <c r="P19" s="7"/>
    </row>
    <row r="20" spans="2:14" ht="12.75">
      <c r="B20" s="68" t="s">
        <v>37</v>
      </c>
      <c r="C20" s="69">
        <v>0</v>
      </c>
      <c r="D20" s="119" t="s">
        <v>123</v>
      </c>
      <c r="E20" s="194"/>
      <c r="F20" s="86" t="str">
        <f t="shared" si="0"/>
        <v>TABAN AYLIĞI ( GV-DG-SGK)</v>
      </c>
      <c r="G20" s="135">
        <f t="shared" si="0"/>
        <v>11909.08</v>
      </c>
      <c r="H20" s="133">
        <f>ROUND(IF(PARAMETRELER!$A$1="AÇIGA ALINMA",ROUND(G20/$C$2*$C$1,2)+ROUND((G20-G20/$C$2*$C$1)*2/3,2),IF(PARAMETRELER!$A$1="GÖREVİNE SON VERİLDİ &amp; ASKER (BAKMAKLA YÜKÜMLÜ YOK) &amp; İSTİFA &amp; SEÇİM NED.İSTİFA",ROUND(G20/$C$2*$C$1,2),IF(PARAMETRELER!$A$1="ASKER (BAKMAKLA YÜK.OLAN)&amp; ÜCRETSİZ İZİN",ROUND(G20/$C$2*$C$1,2),))),2)</f>
        <v>7299.11</v>
      </c>
      <c r="I20" s="136">
        <f t="shared" si="1"/>
        <v>4609.97</v>
      </c>
      <c r="M20" s="125"/>
      <c r="N20" s="7"/>
    </row>
    <row r="21" spans="2:14" ht="12.75">
      <c r="B21" s="68" t="s">
        <v>38</v>
      </c>
      <c r="C21" s="69">
        <v>0</v>
      </c>
      <c r="D21" s="119" t="s">
        <v>123</v>
      </c>
      <c r="E21" s="194"/>
      <c r="F21" s="86" t="str">
        <f t="shared" si="0"/>
        <v>EK GÖSTERGE ( GV-DG-SGK)</v>
      </c>
      <c r="G21" s="135">
        <f t="shared" si="0"/>
        <v>0</v>
      </c>
      <c r="H21" s="133">
        <f>ROUND(IF(PARAMETRELER!$A$1="AÇIGA ALINMA",ROUND(G21/$C$2*$C$1,2)+ROUND((G21-G21/$C$2*$C$1)*2/3,2),IF(PARAMETRELER!$A$1="GÖREVİNE SON VERİLDİ &amp; ASKER (BAKMAKLA YÜKÜMLÜ YOK) &amp; İSTİFA &amp; SEÇİM NED.İSTİFA",ROUND(G21/$C$2*$C$1,2),IF(PARAMETRELER!$A$1="ASKER (BAKMAKLA YÜK.OLAN)&amp; ÜCRETSİZ İZİN",ROUND(G21/$C$2*$C$1,2),))),2)</f>
        <v>0</v>
      </c>
      <c r="I21" s="136">
        <f t="shared" si="1"/>
        <v>0</v>
      </c>
      <c r="L21" s="164"/>
      <c r="M21" s="7"/>
      <c r="N21" s="165"/>
    </row>
    <row r="22" spans="2:14" ht="12.75">
      <c r="B22" s="68" t="s">
        <v>34</v>
      </c>
      <c r="C22" s="69">
        <v>6144.03</v>
      </c>
      <c r="D22" s="120" t="s">
        <v>122</v>
      </c>
      <c r="E22" s="194"/>
      <c r="F22" s="86" t="str">
        <f t="shared" si="0"/>
        <v>MAKTU MESAİ (GV+DV)</v>
      </c>
      <c r="G22" s="135">
        <f t="shared" si="0"/>
        <v>0</v>
      </c>
      <c r="H22" s="137">
        <f>IF(D15="PEŞİN",G22/$C$2*$C$1,G22)</f>
        <v>0</v>
      </c>
      <c r="I22" s="136">
        <f t="shared" si="1"/>
        <v>0</v>
      </c>
      <c r="M22" s="7"/>
      <c r="N22" s="7"/>
    </row>
    <row r="23" spans="2:14" ht="12.75">
      <c r="B23" s="68" t="s">
        <v>39</v>
      </c>
      <c r="C23" s="69">
        <v>0</v>
      </c>
      <c r="D23" s="119" t="s">
        <v>124</v>
      </c>
      <c r="E23" s="194"/>
      <c r="F23" s="86" t="str">
        <f t="shared" si="0"/>
        <v>YAN ÖDEME (GV+DV)</v>
      </c>
      <c r="G23" s="135">
        <f t="shared" si="0"/>
        <v>120.65</v>
      </c>
      <c r="H23" s="133">
        <f>ROUND(IF(PARAMETRELER!$A$1="AÇIGA ALINMA",ROUND(G23/$C$2*$C$1,2)+ROUND((G23-G23/$C$2*$C$1)*2/3,2),IF(PARAMETRELER!$A$1="GÖREVİNE SON VERİLDİ &amp; ASKER (BAKMAKLA YÜKÜMLÜ YOK) &amp; İSTİFA &amp; SEÇİM NED.İSTİFA",ROUND(G23/$C$2*$C$1,2),IF(PARAMETRELER!$A$1="ASKER (BAKMAKLA YÜK.OLAN)&amp; ÜCRETSİZ İZİN",ROUND(G23/$C$2*$C$1,2),))),2)</f>
        <v>73.95</v>
      </c>
      <c r="I23" s="136">
        <f t="shared" si="1"/>
        <v>46.7</v>
      </c>
      <c r="L23" s="5"/>
      <c r="M23" s="7"/>
      <c r="N23" s="7"/>
    </row>
    <row r="24" spans="2:9" ht="12.75">
      <c r="B24" s="68" t="s">
        <v>40</v>
      </c>
      <c r="C24" s="69">
        <v>380.44</v>
      </c>
      <c r="D24" s="119" t="s">
        <v>124</v>
      </c>
      <c r="E24" s="194"/>
      <c r="F24" s="86" t="str">
        <f t="shared" si="0"/>
        <v>ÖZ. HİZ. TAZ. (DV+SGK)</v>
      </c>
      <c r="G24" s="135">
        <f t="shared" si="0"/>
        <v>3541.85</v>
      </c>
      <c r="H24" s="133">
        <f>ROUND(IF(PARAMETRELER!$A$1="AÇIGA ALINMA",ROUND(G24/$C$2*$C$1,2)+ROUND((G24-G24/$C$2*$C$1)*2/3,2),IF(PARAMETRELER!$A$1="GÖREVİNE SON VERİLDİ &amp; ASKER (BAKMAKLA YÜKÜMLÜ YOK) &amp; İSTİFA &amp; SEÇİM NED.İSTİFA",ROUND(G24/$C$2*$C$1,2),IF(PARAMETRELER!$A$1="ASKER (BAKMAKLA YÜK.OLAN)&amp; ÜCRETSİZ İZİN",ROUND(G24/$C$2*$C$1,2),))),2)</f>
        <v>2170.81</v>
      </c>
      <c r="I24" s="136">
        <f t="shared" si="1"/>
        <v>1371.04</v>
      </c>
    </row>
    <row r="25" spans="2:9" ht="12.75">
      <c r="B25" s="68" t="s">
        <v>76</v>
      </c>
      <c r="C25" s="69">
        <v>12147.31</v>
      </c>
      <c r="D25" s="120" t="s">
        <v>122</v>
      </c>
      <c r="E25" s="194"/>
      <c r="F25" s="86" t="str">
        <f>B25</f>
        <v>İLAVE ÖDEME (375)</v>
      </c>
      <c r="G25" s="135">
        <f>C25</f>
        <v>12147.31</v>
      </c>
      <c r="H25" s="133">
        <f>ROUND(IF(PARAMETRELER!$A$1="AÇIGA ALINMA",ROUND(G25/$C$2*$C$1,2)+ROUND((G25-G25/$C$2*$C$1)*2/3,2),IF(PARAMETRELER!$A$1="GÖREVİNE SON VERİLDİ &amp; ASKER (BAKMAKLA YÜKÜMLÜ YOK) &amp; İSTİFA &amp; SEÇİM NED.İSTİFA",ROUND(G25/$C$2*$C$1,2),IF(PARAMETRELER!$A$1="ASKER (BAKMAKLA YÜK.OLAN)&amp; ÜCRETSİZ İZİN",ROUND(G25/$C$2*$C$1,2),))),2)</f>
        <v>7445.13</v>
      </c>
      <c r="I25" s="136">
        <f t="shared" si="1"/>
        <v>4702.179999999999</v>
      </c>
    </row>
    <row r="26" spans="2:9" ht="12.75">
      <c r="B26" s="68" t="s">
        <v>35</v>
      </c>
      <c r="C26" s="69">
        <v>190.22</v>
      </c>
      <c r="D26" s="169" t="s">
        <v>124</v>
      </c>
      <c r="E26" s="194"/>
      <c r="F26" s="86" t="str">
        <f aca="true" t="shared" si="2" ref="F26:G32">B18</f>
        <v>MAKAM TAZ. (DV+SGK)</v>
      </c>
      <c r="G26" s="135">
        <f t="shared" si="2"/>
        <v>0</v>
      </c>
      <c r="H26" s="133">
        <f>ROUND(IF(PARAMETRELER!$A$1="AÇIGA ALINMA",ROUND(G26/$C$2*$C$1,2)+ROUND((G26-G26/$C$2*$C$1)*2/3,2),IF(PARAMETRELER!$A$1="GÖREVİNE SON VERİLDİ &amp; ASKER (BAKMAKLA YÜKÜMLÜ YOK) &amp; İSTİFA &amp; SEÇİM NED.İSTİFA",ROUND(G26/$C$2*$C$1,2),IF(PARAMETRELER!$A$1="ASKER (BAKMAKLA YÜK.OLAN)&amp; ÜCRETSİZ İZİN",ROUND(G26/$C$2*$C$1,2),))),2)</f>
        <v>0</v>
      </c>
      <c r="I26" s="136">
        <f t="shared" si="1"/>
        <v>0</v>
      </c>
    </row>
    <row r="27" spans="2:13" ht="12.75">
      <c r="B27" s="70" t="s">
        <v>36</v>
      </c>
      <c r="C27" s="159">
        <v>8673.93</v>
      </c>
      <c r="D27" s="119" t="s">
        <v>122</v>
      </c>
      <c r="E27" s="194"/>
      <c r="F27" s="86" t="str">
        <f t="shared" si="2"/>
        <v>GÖREV TAZ. (DV+SGK)</v>
      </c>
      <c r="G27" s="135">
        <f t="shared" si="2"/>
        <v>0</v>
      </c>
      <c r="H27" s="133">
        <f>ROUND(IF(PARAMETRELER!$A$1="AÇIGA ALINMA",ROUND(G27/$C$2*$C$1,2)+ROUND((G27-G27/$C$2*$C$1)*2/3,2),IF(PARAMETRELER!$A$1="GÖREVİNE SON VERİLDİ &amp; ASKER (BAKMAKLA YÜKÜMLÜ YOK) &amp; İSTİFA &amp; SEÇİM NED.İSTİFA",ROUND(G27/$C$2*$C$1,2),IF(PARAMETRELER!$A$1="ASKER (BAKMAKLA YÜK.OLAN)&amp; ÜCRETSİZ İZİN",ROUND(G27/$C$2*$C$1,2),))),2)</f>
        <v>0</v>
      </c>
      <c r="I27" s="136">
        <f t="shared" si="1"/>
        <v>0</v>
      </c>
      <c r="M27" s="122"/>
    </row>
    <row r="28" spans="2:9" ht="12.75">
      <c r="B28" s="16" t="s">
        <v>71</v>
      </c>
      <c r="C28" s="22">
        <f>SUM(C11:C27)</f>
        <v>43586.86</v>
      </c>
      <c r="D28" s="127" t="str">
        <f>IF(D29&gt;0,"P.E.K FARK KURUM","  ")</f>
        <v>P.E.K FARK KURUM</v>
      </c>
      <c r="E28" s="194"/>
      <c r="F28" s="86" t="str">
        <f t="shared" si="2"/>
        <v>YEMEK YARDIMI (MUAF)</v>
      </c>
      <c r="G28" s="135">
        <f t="shared" si="2"/>
        <v>0</v>
      </c>
      <c r="H28" s="133">
        <f>IF(D20="PEŞİN",G28/$C$2*$C$1,G28)</f>
        <v>0</v>
      </c>
      <c r="I28" s="136">
        <f t="shared" si="1"/>
        <v>0</v>
      </c>
    </row>
    <row r="29" spans="1:9" ht="12.75">
      <c r="A29" s="17"/>
      <c r="B29" s="15" t="s">
        <v>67</v>
      </c>
      <c r="C29" s="23">
        <f>IF(C11+C12+C13+C17+C14+C18+C19&lt;PARAMETRELER!E6,PARAMETRELER!E6,C11+C12+C13+C17+C14+C18+C19)</f>
        <v>20002.5</v>
      </c>
      <c r="D29" s="127">
        <f>IF(C11+C12+C13+C14+C17+C18+C19&lt;PARAMETRELER!E6,PARAMETRELER!E6-'5510 KİŞİLERDEN ALACAKLAR'!C11-'5510 KİŞİLERDEN ALACAKLAR'!C12-'5510 KİŞİLERDEN ALACAKLAR'!C13-'5510 KİŞİLERDEN ALACAKLAR'!C14-'5510 KİŞİLERDEN ALACAKLAR'!C17-'5510 KİŞİLERDEN ALACAKLAR'!C18-'5510 KİŞİLERDEN ALACAKLAR'!C19,0)</f>
        <v>4072.219999999998</v>
      </c>
      <c r="E29" s="194"/>
      <c r="F29" s="87" t="str">
        <f t="shared" si="2"/>
        <v>FAZLA MESAİ (GV+DV)</v>
      </c>
      <c r="G29" s="135">
        <f t="shared" si="2"/>
        <v>0</v>
      </c>
      <c r="H29" s="138">
        <f>IF(D21="PEŞİN",G29/$C$2*$C$1,G29)</f>
        <v>0</v>
      </c>
      <c r="I29" s="136">
        <f t="shared" si="1"/>
        <v>0</v>
      </c>
    </row>
    <row r="30" spans="1:13" ht="12.75">
      <c r="A30" s="17"/>
      <c r="B30" s="15" t="s">
        <v>53</v>
      </c>
      <c r="C30" s="23">
        <f>IF(C11+C12+C13+C14+C17&lt;C29,$C$29*PARAMETRELER!B17+$D$29*PARAMETRELER!B15,$C$29*PARAMETRELER!B17)</f>
        <v>2566.7748</v>
      </c>
      <c r="D30" s="13"/>
      <c r="E30" s="194"/>
      <c r="F30" s="88" t="str">
        <f t="shared" si="2"/>
        <v>EK ÖDEME (DV)</v>
      </c>
      <c r="G30" s="135">
        <f t="shared" si="2"/>
        <v>6144.03</v>
      </c>
      <c r="H30" s="133">
        <f>ROUND(IF(PARAMETRELER!$A$1="AÇIGA ALINMA",ROUND(G30/$C$2*$C$1,2)+ROUND((G30-G30/$C$2*$C$1)*2/3,2),IF(PARAMETRELER!$A$1="GÖREVİNE SON VERİLDİ &amp; ASKER (BAKMAKLA YÜKÜMLÜ YOK) &amp; İSTİFA &amp; SEÇİM NED.İSTİFA",ROUND(G30/$C$2*$C$1,2),IF(PARAMETRELER!$A$1="ASKER (BAKMAKLA YÜK.OLAN)&amp; ÜCRETSİZ İZİN",ROUND(G30/$C$2*$C$1,2),))),2)</f>
        <v>3765.7</v>
      </c>
      <c r="I30" s="136">
        <f t="shared" si="1"/>
        <v>2378.33</v>
      </c>
      <c r="M30" s="122"/>
    </row>
    <row r="31" spans="1:9" ht="12.75">
      <c r="A31" s="17"/>
      <c r="B31" s="15" t="s">
        <v>54</v>
      </c>
      <c r="C31" s="23">
        <f>IF(C11+C12+C13+C14+C17&lt;C29,$C$29*PARAMETRELER!B18+$D$29*PARAMETRELER!B16,$C$29*PARAMETRELER!B18)</f>
        <v>1703.7984999999999</v>
      </c>
      <c r="D31" s="13"/>
      <c r="E31" s="194"/>
      <c r="F31" s="88" t="str">
        <f t="shared" si="2"/>
        <v>AİLE EŞ (MUAF)</v>
      </c>
      <c r="G31" s="135">
        <f t="shared" si="2"/>
        <v>0</v>
      </c>
      <c r="H31" s="133">
        <f>IF(D23="PEŞİN",G31/$C$2*$C$1,G31)</f>
        <v>0</v>
      </c>
      <c r="I31" s="136">
        <f t="shared" si="1"/>
        <v>0</v>
      </c>
    </row>
    <row r="32" spans="2:9" ht="12.75">
      <c r="B32" s="74" t="s">
        <v>70</v>
      </c>
      <c r="C32" s="24">
        <f>C28+C30+C31</f>
        <v>47857.4333</v>
      </c>
      <c r="D32" s="13"/>
      <c r="E32" s="194"/>
      <c r="F32" s="88" t="str">
        <f t="shared" si="2"/>
        <v>AİLE ÇOCUK (MUAF)</v>
      </c>
      <c r="G32" s="135">
        <f t="shared" si="2"/>
        <v>380.44</v>
      </c>
      <c r="H32" s="133">
        <f>IF(D24="PEŞİN",G32/$C$2*$C$1,G32)</f>
        <v>380.44</v>
      </c>
      <c r="I32" s="136">
        <f t="shared" si="1"/>
        <v>0</v>
      </c>
    </row>
    <row r="33" spans="2:9" ht="12.75">
      <c r="B33" s="74" t="s">
        <v>74</v>
      </c>
      <c r="C33" s="25">
        <f>PARAMETRELER!B12+C34</f>
        <v>59213.450000000004</v>
      </c>
      <c r="D33" s="13"/>
      <c r="E33" s="194"/>
      <c r="F33" s="88" t="str">
        <f>B26</f>
        <v>TOP. SÖZ. PRİM (DV)</v>
      </c>
      <c r="G33" s="135">
        <f>C26</f>
        <v>190.22</v>
      </c>
      <c r="H33" s="133">
        <f>IF(D26="PEŞİN",G33/$C$2*$C$1,G33)</f>
        <v>190.22</v>
      </c>
      <c r="I33" s="139">
        <f t="shared" si="1"/>
        <v>0</v>
      </c>
    </row>
    <row r="34" spans="2:9" ht="12.75">
      <c r="B34" s="15" t="s">
        <v>66</v>
      </c>
      <c r="C34" s="23">
        <f>C11+C12+C13+C14+C15+C16+C21+C27-C40-C41-C45-C48</f>
        <v>18774.130000000005</v>
      </c>
      <c r="D34" s="13"/>
      <c r="E34" s="194"/>
      <c r="F34" s="89" t="str">
        <f>B27</f>
        <v>S. DENGE (GV+DV)</v>
      </c>
      <c r="G34" s="135">
        <f>C27</f>
        <v>8673.93</v>
      </c>
      <c r="H34" s="138">
        <f>IF(D27="PEŞİN",G34/$C$2*$C$1,G34)</f>
        <v>5316.279677419355</v>
      </c>
      <c r="I34" s="140">
        <f t="shared" si="1"/>
        <v>3357.6503225806455</v>
      </c>
    </row>
    <row r="35" spans="2:14" ht="13.5" thickBot="1">
      <c r="B35" s="15"/>
      <c r="C35" s="26"/>
      <c r="D35" s="13"/>
      <c r="E35" s="194"/>
      <c r="F35" s="90"/>
      <c r="G35" s="141"/>
      <c r="H35" s="142"/>
      <c r="I35" s="143"/>
      <c r="N35" s="158"/>
    </row>
    <row r="36" spans="2:14" ht="13.5" thickBot="1">
      <c r="B36" s="15" t="s">
        <v>68</v>
      </c>
      <c r="C36" s="23">
        <f>STOPAJ(C33,C34)-PARAMETRELER!B13</f>
        <v>265.79950000000053</v>
      </c>
      <c r="D36" s="13"/>
      <c r="E36" s="195"/>
      <c r="F36" s="91" t="s">
        <v>5</v>
      </c>
      <c r="G36" s="144">
        <f>G18+G19+G20+G21+G22+G23+G24+G26+G27+G28+G29+G30+G31+G32+G33+G34+G25</f>
        <v>43586.86</v>
      </c>
      <c r="H36" s="145">
        <f>H18+H19+H20+H21+H22+H23+H24+H26+H27+H28+H29+H30+H31+H32+H33+H34+H25</f>
        <v>26935.439677419356</v>
      </c>
      <c r="I36" s="146">
        <f>I18+I19+I20+I21+I22+I23+I24+I26+I27+I28+I29+I30+I31+I32+I33+I34+I25</f>
        <v>16651.420322580645</v>
      </c>
      <c r="N36" s="63"/>
    </row>
    <row r="37" spans="2:9" ht="12.75">
      <c r="B37" s="15" t="s">
        <v>69</v>
      </c>
      <c r="C37" s="23">
        <f>ROUND((C11+C12+C13+C14+C15+C16+C17+C21+C22+C26+C27+C18+C19+C25)/1000*7.59,2)-PARAMETRELER!B14</f>
        <v>176.12</v>
      </c>
      <c r="D37" s="13"/>
      <c r="F37" s="175"/>
      <c r="G37" s="175"/>
      <c r="H37" s="175"/>
      <c r="I37" s="175"/>
    </row>
    <row r="38" spans="1:14" ht="13.5" thickBot="1">
      <c r="A38" s="17"/>
      <c r="B38" s="15" t="s">
        <v>53</v>
      </c>
      <c r="C38" s="23">
        <f>C30</f>
        <v>2566.7748</v>
      </c>
      <c r="D38" s="13"/>
      <c r="F38" s="176"/>
      <c r="G38" s="176"/>
      <c r="H38" s="176"/>
      <c r="I38" s="176"/>
      <c r="N38" s="63"/>
    </row>
    <row r="39" spans="1:9" ht="12.75">
      <c r="A39" s="17"/>
      <c r="B39" s="15" t="s">
        <v>54</v>
      </c>
      <c r="C39" s="23">
        <f>C31</f>
        <v>1703.7984999999999</v>
      </c>
      <c r="D39" s="13"/>
      <c r="E39" s="190" t="s">
        <v>103</v>
      </c>
      <c r="F39" s="92"/>
      <c r="G39" s="27"/>
      <c r="H39" s="27"/>
      <c r="I39" s="102"/>
    </row>
    <row r="40" spans="1:9" ht="22.5">
      <c r="A40" s="17"/>
      <c r="B40" s="15" t="s">
        <v>55</v>
      </c>
      <c r="C40" s="23">
        <f>ROUND((C11+C12+C13+C14+C17+C18+C19)*PARAMETRELER!B15,2)</f>
        <v>1433.73</v>
      </c>
      <c r="D40" s="13"/>
      <c r="E40" s="191"/>
      <c r="F40" s="99" t="s">
        <v>116</v>
      </c>
      <c r="G40" s="135">
        <f>C38</f>
        <v>2566.7748</v>
      </c>
      <c r="H40" s="135">
        <f>IF(G40&gt;0,'SGK TARAFI'!H16,0)</f>
        <v>1625.63</v>
      </c>
      <c r="I40" s="136">
        <f>IF(G40&gt;0,G40-H40,0)</f>
        <v>941.1448</v>
      </c>
    </row>
    <row r="41" spans="2:9" ht="31.5" customHeight="1" thickBot="1">
      <c r="B41" s="15" t="s">
        <v>56</v>
      </c>
      <c r="C41" s="23">
        <f>ROUND((C11+C12+C13+C14+C17+C18+C19)*PARAMETRELER!B16,2)</f>
        <v>796.51</v>
      </c>
      <c r="D41" s="13"/>
      <c r="E41" s="191"/>
      <c r="F41" s="100" t="s">
        <v>117</v>
      </c>
      <c r="G41" s="135">
        <f>C39</f>
        <v>1703.7984999999999</v>
      </c>
      <c r="H41" s="135">
        <f>IF(G41&gt;0,'SGK TARAFI'!J16,0)</f>
        <v>1079.07</v>
      </c>
      <c r="I41" s="136">
        <f>IF(G41&gt;0,G41-H41,0)</f>
        <v>624.7284999999999</v>
      </c>
    </row>
    <row r="42" spans="1:9" ht="29.25" customHeight="1" thickBot="1">
      <c r="A42" s="17"/>
      <c r="B42" s="68" t="s">
        <v>75</v>
      </c>
      <c r="C42" s="69">
        <v>0</v>
      </c>
      <c r="D42" s="13"/>
      <c r="E42" s="191"/>
      <c r="F42" s="93" t="s">
        <v>5</v>
      </c>
      <c r="G42" s="147">
        <f>SUM(G40:G41)</f>
        <v>4270.5733</v>
      </c>
      <c r="H42" s="147">
        <f>SUM(H40:H41)</f>
        <v>2704.7</v>
      </c>
      <c r="I42" s="148">
        <f>SUM(I40:I41)</f>
        <v>1565.8733</v>
      </c>
    </row>
    <row r="43" spans="2:9" ht="12.75">
      <c r="B43" s="68" t="s">
        <v>1</v>
      </c>
      <c r="C43" s="69">
        <v>0</v>
      </c>
      <c r="D43" s="13"/>
      <c r="F43" s="28"/>
      <c r="G43" s="29"/>
      <c r="H43" s="30"/>
      <c r="I43" s="29"/>
    </row>
    <row r="44" spans="2:9" ht="12.75">
      <c r="B44" s="68" t="s">
        <v>0</v>
      </c>
      <c r="C44" s="69">
        <v>0</v>
      </c>
      <c r="D44" s="13"/>
      <c r="F44" s="175"/>
      <c r="G44" s="175"/>
      <c r="H44" s="175"/>
      <c r="I44" s="175"/>
    </row>
    <row r="45" spans="2:22" ht="13.5" thickBot="1">
      <c r="B45" s="68" t="s">
        <v>59</v>
      </c>
      <c r="C45" s="69">
        <v>178.64</v>
      </c>
      <c r="D45" s="13"/>
      <c r="F45" s="176"/>
      <c r="G45" s="176"/>
      <c r="H45" s="176"/>
      <c r="I45" s="176"/>
      <c r="V45" s="3" t="s">
        <v>128</v>
      </c>
    </row>
    <row r="46" spans="2:9" ht="22.5" customHeight="1">
      <c r="B46" s="68" t="s">
        <v>60</v>
      </c>
      <c r="C46" s="69">
        <v>0</v>
      </c>
      <c r="D46" s="13"/>
      <c r="E46" s="196" t="s">
        <v>106</v>
      </c>
      <c r="F46" s="155" t="s">
        <v>6</v>
      </c>
      <c r="G46" s="156" t="s">
        <v>104</v>
      </c>
      <c r="H46" s="157" t="s">
        <v>105</v>
      </c>
      <c r="I46" s="114"/>
    </row>
    <row r="47" spans="2:9" ht="12.75">
      <c r="B47" s="68" t="s">
        <v>10</v>
      </c>
      <c r="C47" s="69">
        <v>477</v>
      </c>
      <c r="D47" s="13"/>
      <c r="E47" s="197"/>
      <c r="F47" s="31" t="s">
        <v>107</v>
      </c>
      <c r="G47" s="149">
        <f>C36</f>
        <v>265.79950000000053</v>
      </c>
      <c r="H47" s="149">
        <f>IF((((G47+I13)/C2*C1)-I13)&lt;=0,0,(((G47+I13)/C2*C1)-I13))</f>
        <v>0</v>
      </c>
      <c r="I47" s="150">
        <f>G47-H47</f>
        <v>265.79950000000053</v>
      </c>
    </row>
    <row r="48" spans="2:9" ht="12.75">
      <c r="B48" s="68" t="s">
        <v>83</v>
      </c>
      <c r="C48" s="69">
        <v>0</v>
      </c>
      <c r="D48" s="18"/>
      <c r="E48" s="198"/>
      <c r="F48" s="94" t="s">
        <v>108</v>
      </c>
      <c r="G48" s="151">
        <f>C37</f>
        <v>176.12</v>
      </c>
      <c r="H48" s="151">
        <f>G48</f>
        <v>176.12</v>
      </c>
      <c r="I48" s="151">
        <f>G48-H48</f>
        <v>0</v>
      </c>
    </row>
    <row r="49" spans="2:9" ht="12.75">
      <c r="B49" s="68" t="s">
        <v>57</v>
      </c>
      <c r="C49" s="69">
        <v>0</v>
      </c>
      <c r="D49" s="18"/>
      <c r="E49" s="183" t="s">
        <v>7</v>
      </c>
      <c r="F49" s="184"/>
      <c r="G49" s="152">
        <f>SUM(G46:G48)</f>
        <v>441.91950000000054</v>
      </c>
      <c r="H49" s="152">
        <f>SUM(H46:H48)</f>
        <v>176.12</v>
      </c>
      <c r="I49" s="152">
        <f>SUM(I46:I48)</f>
        <v>265.79950000000053</v>
      </c>
    </row>
    <row r="50" spans="2:9" ht="20.25" customHeight="1">
      <c r="B50" s="68" t="s">
        <v>58</v>
      </c>
      <c r="C50" s="69">
        <v>0</v>
      </c>
      <c r="D50" s="18"/>
      <c r="E50" s="185" t="str">
        <f>IF(PARAMETRELER!B11="HAYIR","GELİR VERGİSİNİN VERGİ DAİRESİNE YATIRILMADIĞI DURUMLARDA KİŞİ BORCUNA MAHSUP",IF(PARAMETRELER!B11="EVET","YERSİZ ÖDENEN VERGİ KİŞİ TARAFINDAN VERGİ DAİRESİNDEN TALEP EDİLECEKTİR.",))</f>
        <v>GELİR VERGİSİNİN VERGİ DAİRESİNE YATIRILMADIĞI DURUMLARDA KİŞİ BORCUNA MAHSUP</v>
      </c>
      <c r="F50" s="186"/>
      <c r="G50" s="186"/>
      <c r="H50" s="187"/>
      <c r="I50" s="152">
        <f>I49</f>
        <v>265.79950000000053</v>
      </c>
    </row>
    <row r="51" spans="2:9" ht="30.75" customHeight="1">
      <c r="B51" s="68" t="s">
        <v>61</v>
      </c>
      <c r="C51" s="69">
        <v>0</v>
      </c>
      <c r="D51" s="18"/>
      <c r="E51" s="179" t="s">
        <v>113</v>
      </c>
      <c r="F51" s="180"/>
      <c r="G51" s="154" t="str">
        <f>IF(AND(PARAMETRELER!B10="HAYIR",PARAMETRELER!B11="HAYIR"),"(1)-2 ******",IF(AND(PARAMETRELER!B10="EVET",PARAMETRELER!B11="HAYIR"),"(1+2)-3 ******",IF(AND(PARAMETRELER!B10="HAYIR",PARAMETRELER!B11="EVET"),"(1+3)-2 ******",IF(AND(PARAMETRELER!B10="EVET",PARAMETRELER!B11="EVET"),"(1+2)+3 ******",))))</f>
        <v>(1)-2 ******</v>
      </c>
      <c r="H51" s="181">
        <f>IF(AND(PARAMETRELER!B10="HAYIR",PARAMETRELER!B11="HAYIR"),'5510 KİŞİLERDEN ALACAKLAR'!I36-I49,IF(AND(PARAMETRELER!B10="EVET",PARAMETRELER!B11="HAYIR"),I36+I42-I49,IF(AND(PARAMETRELER!B10="HAYIR",PARAMETRELER!B11="EVET"),'5510 KİŞİLERDEN ALACAKLAR'!I36+I49,IF(AND(PARAMETRELER!B10="EVET",PARAMETRELER!B11="EVET"),'5510 KİŞİLERDEN ALACAKLAR'!I36+I42+I49,))))</f>
        <v>16385.620822580644</v>
      </c>
      <c r="I51" s="182"/>
    </row>
    <row r="52" spans="2:9" ht="12.75">
      <c r="B52" s="68" t="s">
        <v>62</v>
      </c>
      <c r="C52" s="69">
        <v>0</v>
      </c>
      <c r="D52" s="18"/>
      <c r="E52" s="178" t="s">
        <v>125</v>
      </c>
      <c r="F52" s="178"/>
      <c r="G52" s="178"/>
      <c r="H52" s="178"/>
      <c r="I52" s="178"/>
    </row>
    <row r="53" spans="2:9" ht="12.75">
      <c r="B53" s="68" t="s">
        <v>63</v>
      </c>
      <c r="C53" s="69">
        <v>0</v>
      </c>
      <c r="D53" s="18"/>
      <c r="E53" s="178"/>
      <c r="F53" s="178"/>
      <c r="G53" s="178"/>
      <c r="H53" s="178"/>
      <c r="I53" s="178"/>
    </row>
    <row r="54" spans="2:9" ht="12.75">
      <c r="B54" s="68" t="s">
        <v>64</v>
      </c>
      <c r="C54" s="69">
        <v>0</v>
      </c>
      <c r="D54" s="18"/>
      <c r="E54" s="178"/>
      <c r="F54" s="178"/>
      <c r="G54" s="178"/>
      <c r="H54" s="178"/>
      <c r="I54" s="178"/>
    </row>
    <row r="55" spans="2:9" ht="12.75">
      <c r="B55" s="71" t="s">
        <v>65</v>
      </c>
      <c r="C55" s="69">
        <v>0</v>
      </c>
      <c r="D55" s="19"/>
      <c r="E55" s="178"/>
      <c r="F55" s="178"/>
      <c r="G55" s="178"/>
      <c r="H55" s="178"/>
      <c r="I55" s="178"/>
    </row>
    <row r="56" spans="2:9" ht="12.75">
      <c r="B56" s="1"/>
      <c r="C56" s="1"/>
      <c r="D56" s="18"/>
      <c r="E56" s="178"/>
      <c r="F56" s="178"/>
      <c r="G56" s="178"/>
      <c r="H56" s="178"/>
      <c r="I56" s="178"/>
    </row>
    <row r="57" spans="2:9" ht="12.75">
      <c r="B57" s="16" t="s">
        <v>52</v>
      </c>
      <c r="C57" s="25">
        <f>SUM(C36:C56)-C48</f>
        <v>7598.3728</v>
      </c>
      <c r="D57" s="13"/>
      <c r="E57" s="178"/>
      <c r="F57" s="178"/>
      <c r="G57" s="178"/>
      <c r="H57" s="178"/>
      <c r="I57" s="178"/>
    </row>
    <row r="58" spans="2:9" ht="13.5" thickBot="1">
      <c r="B58" s="16" t="s">
        <v>118</v>
      </c>
      <c r="C58" s="32">
        <f>C32-C57</f>
        <v>40259.0605</v>
      </c>
      <c r="D58" s="13"/>
      <c r="E58" s="178"/>
      <c r="F58" s="178"/>
      <c r="G58" s="178"/>
      <c r="H58" s="178"/>
      <c r="I58" s="178"/>
    </row>
    <row r="59" spans="2:8" ht="31.5" customHeight="1" thickBot="1">
      <c r="B59" s="104" t="s">
        <v>119</v>
      </c>
      <c r="C59" s="105">
        <f>PARAMETRELER!B14</f>
        <v>151.82</v>
      </c>
      <c r="D59" s="13"/>
      <c r="F59" s="96" t="s">
        <v>109</v>
      </c>
      <c r="G59" s="95"/>
      <c r="H59" s="96" t="s">
        <v>110</v>
      </c>
    </row>
    <row r="60" spans="2:8" ht="12.75">
      <c r="B60" s="104" t="s">
        <v>120</v>
      </c>
      <c r="C60" s="105">
        <f>PARAMETRELER!B13</f>
        <v>2550.32</v>
      </c>
      <c r="D60" s="13"/>
      <c r="F60" s="96" t="s">
        <v>111</v>
      </c>
      <c r="G60" s="95"/>
      <c r="H60" s="96" t="s">
        <v>111</v>
      </c>
    </row>
    <row r="61" spans="2:8" ht="12.75" customHeight="1">
      <c r="B61" s="16" t="s">
        <v>51</v>
      </c>
      <c r="C61" s="33">
        <f>C58</f>
        <v>40259.0605</v>
      </c>
      <c r="D61" s="13"/>
      <c r="F61" s="96" t="s">
        <v>92</v>
      </c>
      <c r="G61" s="95"/>
      <c r="H61" s="96" t="s">
        <v>92</v>
      </c>
    </row>
    <row r="62" spans="1:8" ht="13.5" customHeight="1">
      <c r="A62" s="3"/>
      <c r="D62" s="13"/>
      <c r="F62" s="96" t="s">
        <v>112</v>
      </c>
      <c r="G62" s="95"/>
      <c r="H62" s="96" t="s">
        <v>112</v>
      </c>
    </row>
    <row r="63" spans="1:4" ht="12.75" customHeight="1">
      <c r="A63" s="3"/>
      <c r="D63" s="13"/>
    </row>
    <row r="64" spans="1:4" ht="12.75">
      <c r="A64" s="3"/>
      <c r="D64" s="13"/>
    </row>
    <row r="65" spans="1:4" ht="15.75" customHeight="1">
      <c r="A65" s="3"/>
      <c r="D65" s="13"/>
    </row>
    <row r="66" spans="1:4" ht="12.75">
      <c r="A66" s="3"/>
      <c r="D66" s="13"/>
    </row>
    <row r="67" spans="3:9" ht="12.75">
      <c r="C67" s="21"/>
      <c r="E67" s="20"/>
      <c r="F67" s="20"/>
      <c r="G67" s="20"/>
      <c r="H67" s="20"/>
      <c r="I67" s="20"/>
    </row>
    <row r="68" spans="3:9" ht="12.75">
      <c r="C68" s="21"/>
      <c r="E68" s="20"/>
      <c r="F68" s="20"/>
      <c r="G68" s="20"/>
      <c r="H68" s="20"/>
      <c r="I68" s="20"/>
    </row>
    <row r="69" spans="6:9" ht="12.75">
      <c r="F69" s="75"/>
      <c r="G69" s="75"/>
      <c r="H69" s="177"/>
      <c r="I69" s="177"/>
    </row>
    <row r="70" ht="12.75">
      <c r="I70" s="101"/>
    </row>
    <row r="71" spans="8:15" ht="12.75">
      <c r="H71" s="4"/>
      <c r="O71" s="98"/>
    </row>
    <row r="72" spans="7:15" ht="12.75">
      <c r="G72" s="177"/>
      <c r="H72" s="177"/>
      <c r="O72" s="36"/>
    </row>
    <row r="73" spans="7:15" ht="12.75">
      <c r="G73" s="173"/>
      <c r="H73" s="173"/>
      <c r="O73" s="36"/>
    </row>
    <row r="74" spans="7:8" ht="12.75">
      <c r="G74" s="174"/>
      <c r="H74" s="173"/>
    </row>
    <row r="86" ht="12.75">
      <c r="I86" s="63"/>
    </row>
    <row r="115" ht="12.75" hidden="1"/>
    <row r="116" ht="12.75" hidden="1"/>
    <row r="117" ht="12.75" hidden="1"/>
    <row r="118" ht="12.75" hidden="1"/>
    <row r="119" ht="12.75" hidden="1"/>
    <row r="120" ht="12.75" hidden="1">
      <c r="L120" s="36">
        <v>0</v>
      </c>
    </row>
    <row r="121" spans="12:14" ht="12.75" hidden="1">
      <c r="L121" s="36">
        <v>1</v>
      </c>
      <c r="N121" s="128">
        <f>G24+G26+G27</f>
        <v>3541.85</v>
      </c>
    </row>
    <row r="122" spans="8:12" ht="12.75" hidden="1">
      <c r="H122" s="5" t="s">
        <v>114</v>
      </c>
      <c r="I122" s="3">
        <v>28</v>
      </c>
      <c r="J122" s="7" t="s">
        <v>122</v>
      </c>
      <c r="L122" s="36">
        <v>2</v>
      </c>
    </row>
    <row r="123" spans="8:12" ht="12.75" hidden="1">
      <c r="H123" s="5" t="s">
        <v>115</v>
      </c>
      <c r="I123" s="3">
        <v>29</v>
      </c>
      <c r="J123" s="7" t="s">
        <v>123</v>
      </c>
      <c r="L123" s="36">
        <v>3</v>
      </c>
    </row>
    <row r="124" spans="9:12" ht="12.75" hidden="1">
      <c r="I124" s="3">
        <v>30</v>
      </c>
      <c r="J124" s="7" t="s">
        <v>124</v>
      </c>
      <c r="L124" s="36">
        <v>4</v>
      </c>
    </row>
    <row r="125" spans="9:12" ht="12.75" hidden="1">
      <c r="I125" s="3">
        <v>31</v>
      </c>
      <c r="L125" s="36">
        <v>5</v>
      </c>
    </row>
    <row r="126" ht="12.75" hidden="1">
      <c r="L126" s="36">
        <v>6</v>
      </c>
    </row>
    <row r="127" ht="12.75" hidden="1">
      <c r="L127" s="36">
        <v>7</v>
      </c>
    </row>
    <row r="128" ht="12.75" hidden="1">
      <c r="L128" s="36">
        <v>8</v>
      </c>
    </row>
    <row r="129" ht="12.75" hidden="1">
      <c r="L129" s="36">
        <v>9</v>
      </c>
    </row>
    <row r="130" ht="12.75" hidden="1">
      <c r="L130" s="36">
        <v>10</v>
      </c>
    </row>
    <row r="131" ht="12.75" hidden="1">
      <c r="L131" s="36">
        <v>11</v>
      </c>
    </row>
    <row r="132" ht="12.75" hidden="1">
      <c r="L132" s="36">
        <v>12</v>
      </c>
    </row>
    <row r="133" ht="12.75" hidden="1">
      <c r="L133" s="36">
        <v>13</v>
      </c>
    </row>
    <row r="134" ht="12.75" hidden="1">
      <c r="L134" s="36">
        <v>14</v>
      </c>
    </row>
    <row r="135" ht="12.75" hidden="1">
      <c r="L135" s="36">
        <v>15</v>
      </c>
    </row>
    <row r="136" ht="12.75" hidden="1">
      <c r="L136" s="36">
        <v>16</v>
      </c>
    </row>
    <row r="137" ht="12.75" hidden="1">
      <c r="L137" s="36">
        <v>17</v>
      </c>
    </row>
    <row r="138" ht="12.75" hidden="1">
      <c r="L138" s="36">
        <v>18</v>
      </c>
    </row>
    <row r="139" ht="12.75" hidden="1">
      <c r="L139" s="36">
        <v>19</v>
      </c>
    </row>
    <row r="140" ht="12.75" hidden="1">
      <c r="L140" s="36">
        <v>20</v>
      </c>
    </row>
    <row r="141" ht="12.75" hidden="1">
      <c r="L141" s="36">
        <v>21</v>
      </c>
    </row>
    <row r="142" ht="12.75" hidden="1">
      <c r="L142" s="36">
        <v>22</v>
      </c>
    </row>
    <row r="143" ht="12.75" hidden="1">
      <c r="L143" s="36">
        <v>23</v>
      </c>
    </row>
    <row r="144" ht="12.75" hidden="1">
      <c r="L144" s="36">
        <v>24</v>
      </c>
    </row>
    <row r="145" ht="12.75" hidden="1">
      <c r="L145" s="36">
        <v>25</v>
      </c>
    </row>
    <row r="146" ht="12.75" hidden="1">
      <c r="L146" s="36">
        <v>26</v>
      </c>
    </row>
    <row r="147" ht="12.75" hidden="1">
      <c r="L147" s="36">
        <v>27</v>
      </c>
    </row>
    <row r="148" ht="12.75" hidden="1">
      <c r="L148" s="36">
        <v>28</v>
      </c>
    </row>
    <row r="149" ht="12.75" hidden="1">
      <c r="L149" s="36">
        <v>29</v>
      </c>
    </row>
    <row r="150" ht="12.75" hidden="1">
      <c r="L150" s="36">
        <v>30</v>
      </c>
    </row>
    <row r="151" ht="12.75" hidden="1">
      <c r="L151" s="36">
        <v>31</v>
      </c>
    </row>
    <row r="152" ht="12.75" hidden="1"/>
    <row r="153" ht="12.75" hidden="1"/>
    <row r="154" ht="12.75" hidden="1"/>
    <row r="155" ht="12.75" hidden="1"/>
  </sheetData>
  <sheetProtection password="C649" sheet="1" formatCells="0" formatColumns="0" formatRows="0" insertColumns="0" insertRows="0" insertHyperlinks="0" deleteColumns="0" deleteRows="0" sort="0" autoFilter="0" pivotTables="0"/>
  <mergeCells count="30">
    <mergeCell ref="F1:H1"/>
    <mergeCell ref="E10:F10"/>
    <mergeCell ref="E4:I4"/>
    <mergeCell ref="E6:F6"/>
    <mergeCell ref="E11:F13"/>
    <mergeCell ref="H16:H17"/>
    <mergeCell ref="E2:I3"/>
    <mergeCell ref="E8:F8"/>
    <mergeCell ref="E5:I5"/>
    <mergeCell ref="G11:G13"/>
    <mergeCell ref="E7:F7"/>
    <mergeCell ref="E39:E42"/>
    <mergeCell ref="E14:I15"/>
    <mergeCell ref="E18:E36"/>
    <mergeCell ref="E9:F9"/>
    <mergeCell ref="E46:E48"/>
    <mergeCell ref="G16:G17"/>
    <mergeCell ref="F44:I45"/>
    <mergeCell ref="I16:I17"/>
    <mergeCell ref="E16:F17"/>
    <mergeCell ref="G74:H74"/>
    <mergeCell ref="F37:I38"/>
    <mergeCell ref="H69:I69"/>
    <mergeCell ref="G73:H73"/>
    <mergeCell ref="E52:I58"/>
    <mergeCell ref="G72:H72"/>
    <mergeCell ref="E51:F51"/>
    <mergeCell ref="H51:I51"/>
    <mergeCell ref="E49:F49"/>
    <mergeCell ref="E50:H50"/>
  </mergeCells>
  <conditionalFormatting sqref="I18:I34">
    <cfRule type="cellIs" priority="5" dxfId="3" operator="equal" stopIfTrue="1">
      <formula>0</formula>
    </cfRule>
  </conditionalFormatting>
  <conditionalFormatting sqref="I18:I34">
    <cfRule type="cellIs" priority="4" dxfId="3" operator="equal" stopIfTrue="1">
      <formula>0</formula>
    </cfRule>
  </conditionalFormatting>
  <conditionalFormatting sqref="D28">
    <cfRule type="cellIs" priority="3" dxfId="2" operator="equal" stopIfTrue="1">
      <formula>"P.E.K FARK KURUM"</formula>
    </cfRule>
  </conditionalFormatting>
  <conditionalFormatting sqref="D29">
    <cfRule type="cellIs" priority="1" dxfId="0" operator="greaterThan" stopIfTrue="1">
      <formula>0</formula>
    </cfRule>
    <cfRule type="cellIs" priority="2" dxfId="0" operator="greaterThan" stopIfTrue="1">
      <formula>0</formula>
    </cfRule>
  </conditionalFormatting>
  <dataValidations count="6">
    <dataValidation allowBlank="1" showErrorMessage="1" promptTitle="ÖNEMLİ" prompt="Bir önceki ay kümülatif gelir vergisi matrahını PARAMETRELER alanındaki ilgili kısma giriniz..." sqref="C33"/>
    <dataValidation allowBlank="1" showErrorMessage="1" promptTitle="NOT" prompt="ÇALIŞANIN SGK MATRAHI ASGARİ ÜCRETİN ALTINDA KALMASI DURUMUNDA KALAN TUTAR KADAR İŞVEREN DESTEK SAĞLAR" sqref="C29"/>
    <dataValidation allowBlank="1" showErrorMessage="1" promptTitle="NOT" prompt="Maaş ödemesinin yapıldığı ay bordrosundaki kazanç kalemlerini aşağıya giriniz..." sqref="C10"/>
    <dataValidation type="list" allowBlank="1" showInputMessage="1" showErrorMessage="1" sqref="C2">
      <formula1>$I$122:$I$125</formula1>
    </dataValidation>
    <dataValidation type="list" allowBlank="1" showInputMessage="1" showErrorMessage="1" sqref="D11:D27">
      <formula1>$J$122:$J$124</formula1>
    </dataValidation>
    <dataValidation type="list" allowBlank="1" showInputMessage="1" showErrorMessage="1" sqref="C1">
      <formula1>$L$120:$L$151</formula1>
    </dataValidation>
  </dataValidations>
  <printOptions horizontalCentered="1"/>
  <pageMargins left="0.35433070866141736" right="0.35433070866141736" top="0.3937007874015748" bottom="0.1968503937007874" header="0.5118110236220472" footer="0.5118110236220472"/>
  <pageSetup fitToHeight="1" fitToWidth="1" horizontalDpi="600" verticalDpi="600" orientation="portrait" paperSize="9" scale="84" r:id="rId3"/>
  <legacyDrawing r:id="rId2"/>
</worksheet>
</file>

<file path=xl/worksheets/sheet3.xml><?xml version="1.0" encoding="utf-8"?>
<worksheet xmlns="http://schemas.openxmlformats.org/spreadsheetml/2006/main" xmlns:r="http://schemas.openxmlformats.org/officeDocument/2006/relationships">
  <sheetPr codeName="Sayfa3">
    <tabColor rgb="FF7030A0"/>
    <pageSetUpPr fitToPage="1"/>
  </sheetPr>
  <dimension ref="A1:O37"/>
  <sheetViews>
    <sheetView zoomScalePageLayoutView="0" workbookViewId="0" topLeftCell="A1">
      <selection activeCell="A35" sqref="A35"/>
    </sheetView>
  </sheetViews>
  <sheetFormatPr defaultColWidth="9.140625" defaultRowHeight="12.75"/>
  <cols>
    <col min="1" max="1" width="17.00390625" style="36" bestFit="1" customWidth="1"/>
    <col min="2" max="2" width="13.8515625" style="36" bestFit="1" customWidth="1"/>
    <col min="3" max="3" width="11.421875" style="36" bestFit="1" customWidth="1"/>
    <col min="4" max="4" width="11.8515625" style="36" customWidth="1"/>
    <col min="5" max="5" width="12.28125" style="36" customWidth="1"/>
    <col min="6" max="6" width="11.28125" style="36" customWidth="1"/>
    <col min="7" max="7" width="11.7109375" style="36" bestFit="1" customWidth="1"/>
    <col min="8" max="8" width="10.7109375" style="36" bestFit="1" customWidth="1"/>
    <col min="9" max="9" width="14.140625" style="36" customWidth="1"/>
    <col min="10" max="10" width="14.57421875" style="36" customWidth="1"/>
    <col min="11" max="11" width="12.00390625" style="36" bestFit="1" customWidth="1"/>
    <col min="12" max="12" width="13.8515625" style="36" bestFit="1" customWidth="1"/>
    <col min="13" max="16384" width="9.140625" style="36" customWidth="1"/>
  </cols>
  <sheetData>
    <row r="1" spans="1:12" ht="15.75">
      <c r="A1" s="222" t="s">
        <v>11</v>
      </c>
      <c r="B1" s="223"/>
      <c r="C1" s="223"/>
      <c r="D1" s="223"/>
      <c r="E1" s="223"/>
      <c r="F1" s="223"/>
      <c r="G1" s="223"/>
      <c r="H1" s="223"/>
      <c r="I1" s="223"/>
      <c r="J1" s="223"/>
      <c r="K1" s="223"/>
      <c r="L1" s="224"/>
    </row>
    <row r="2" spans="1:12" ht="15.75">
      <c r="A2" s="46"/>
      <c r="B2" s="47"/>
      <c r="C2" s="79"/>
      <c r="D2" s="79"/>
      <c r="E2" s="79"/>
      <c r="F2" s="79"/>
      <c r="G2" s="79"/>
      <c r="H2" s="79"/>
      <c r="I2" s="79"/>
      <c r="J2" s="79"/>
      <c r="K2" s="79"/>
      <c r="L2" s="79"/>
    </row>
    <row r="3" spans="1:2" ht="12.75">
      <c r="A3" s="34" t="s">
        <v>12</v>
      </c>
      <c r="B3" s="35">
        <f>PARAMETRELER!B3</f>
        <v>0.760871</v>
      </c>
    </row>
    <row r="4" spans="1:2" ht="12.75">
      <c r="A4" s="37" t="s">
        <v>13</v>
      </c>
      <c r="B4" s="38">
        <v>30</v>
      </c>
    </row>
    <row r="6" spans="1:12" ht="63.75">
      <c r="A6" s="39" t="s">
        <v>3</v>
      </c>
      <c r="B6" s="39" t="s">
        <v>14</v>
      </c>
      <c r="C6" s="40" t="s">
        <v>4</v>
      </c>
      <c r="D6" s="40" t="s">
        <v>2</v>
      </c>
      <c r="E6" s="41" t="s">
        <v>78</v>
      </c>
      <c r="F6" s="41" t="s">
        <v>126</v>
      </c>
      <c r="G6" s="41" t="s">
        <v>15</v>
      </c>
      <c r="H6" s="41" t="s">
        <v>79</v>
      </c>
      <c r="I6" s="41" t="s">
        <v>80</v>
      </c>
      <c r="J6" s="41" t="s">
        <v>81</v>
      </c>
      <c r="K6" s="41" t="s">
        <v>82</v>
      </c>
      <c r="L6" s="40" t="s">
        <v>16</v>
      </c>
    </row>
    <row r="7" spans="1:12" ht="12.75">
      <c r="A7" s="42">
        <f>'5510 KİŞİLERDEN ALACAKLAR'!C13</f>
        <v>11909.08</v>
      </c>
      <c r="B7" s="42">
        <f>'5510 KİŞİLERDEN ALACAKLAR'!C11</f>
        <v>464.13</v>
      </c>
      <c r="C7" s="42">
        <f>'5510 KİŞİLERDEN ALACAKLAR'!C14</f>
        <v>0</v>
      </c>
      <c r="D7" s="42">
        <f>'5510 KİŞİLERDEN ALACAKLAR'!C12</f>
        <v>15.22</v>
      </c>
      <c r="E7" s="42">
        <f>'5510 KİŞİLERDEN ALACAKLAR'!C17+'5510 KİŞİLERDEN ALACAKLAR'!C18+'5510 KİŞİLERDEN ALACAKLAR'!C19</f>
        <v>3541.85</v>
      </c>
      <c r="F7" s="42">
        <f>IF('5510 KİŞİLERDEN ALACAKLAR'!D29&gt;0,'5510 KİŞİLERDEN ALACAKLAR'!D29,0)</f>
        <v>4072.219999999998</v>
      </c>
      <c r="G7" s="42">
        <f>SUM(A7:F7)</f>
        <v>20002.499999999996</v>
      </c>
      <c r="H7" s="42">
        <f>'5510 KİŞİLERDEN ALACAKLAR'!C30</f>
        <v>2566.7748</v>
      </c>
      <c r="I7" s="42">
        <f>'5510 KİŞİLERDEN ALACAKLAR'!C40</f>
        <v>1433.73</v>
      </c>
      <c r="J7" s="42">
        <f>'5510 KİŞİLERDEN ALACAKLAR'!C31</f>
        <v>1703.7984999999999</v>
      </c>
      <c r="K7" s="42">
        <f>'5510 KİŞİLERDEN ALACAKLAR'!C41</f>
        <v>796.51</v>
      </c>
      <c r="L7" s="42">
        <f>SUM(H7:K7)</f>
        <v>6500.8133</v>
      </c>
    </row>
    <row r="8" spans="1:12" ht="12.75">
      <c r="A8" s="43"/>
      <c r="B8" s="43"/>
      <c r="C8" s="43"/>
      <c r="D8" s="43"/>
      <c r="E8" s="43"/>
      <c r="F8" s="43"/>
      <c r="G8" s="43"/>
      <c r="H8" s="43"/>
      <c r="I8" s="43"/>
      <c r="J8" s="43"/>
      <c r="K8" s="43"/>
      <c r="L8" s="43"/>
    </row>
    <row r="10" spans="1:12" ht="15.75">
      <c r="A10" s="230" t="str">
        <f>IF(PARAMETRELER!A1&lt;&gt;"AÇIGA ALINMA","KIST MAAŞ DÖNEMİ PRİM ÖDEME GÜN SAYISI  "&amp;'5510 KİŞİLERDEN ALACAKLAR'!C1,IF(PARAMETRELER!A1="AÇIGA ALINMA","KIST MAAŞ DÖNEMİ PRİM ÖDEME GÜN SAYISI   "&amp;'5510 KİŞİLERDEN ALACAKLAR'!C1&amp;" "&amp;"AÇIKTA GEÇEN GÜN SAYISI "&amp;(30-'5510 KİŞİLERDEN ALACAKLAR'!C1),))</f>
        <v>KIST MAAŞ DÖNEMİ PRİM ÖDEME GÜN SAYISI  19</v>
      </c>
      <c r="B10" s="231"/>
      <c r="C10" s="231"/>
      <c r="D10" s="231"/>
      <c r="E10" s="231"/>
      <c r="F10" s="231"/>
      <c r="G10" s="231"/>
      <c r="H10" s="231"/>
      <c r="I10" s="231"/>
      <c r="J10" s="231"/>
      <c r="K10" s="231"/>
      <c r="L10" s="232"/>
    </row>
    <row r="12" spans="1:2" ht="12.75">
      <c r="A12" s="35" t="s">
        <v>12</v>
      </c>
      <c r="B12" s="35">
        <f>B3</f>
        <v>0.760871</v>
      </c>
    </row>
    <row r="13" spans="1:2" ht="12.75">
      <c r="A13" s="44" t="s">
        <v>13</v>
      </c>
      <c r="B13" s="166">
        <f>IF(PARAMETRELER!A1&lt;&gt;"AÇIGA ALINMA",'5510 KİŞİLERDEN ALACAKLAR'!C1,IF(PARAMETRELER!A1="AÇIGA ALINMA",'5510 KİŞİLERDEN ALACAKLAR'!C1+ROUND((30-'5510 KİŞİLERDEN ALACAKLAR'!C1)/2,0),))</f>
        <v>19</v>
      </c>
    </row>
    <row r="14" ht="12.75">
      <c r="O14" s="130"/>
    </row>
    <row r="15" spans="1:12" ht="63.75">
      <c r="A15" s="39" t="s">
        <v>3</v>
      </c>
      <c r="B15" s="39" t="s">
        <v>14</v>
      </c>
      <c r="C15" s="40" t="s">
        <v>4</v>
      </c>
      <c r="D15" s="40" t="s">
        <v>2</v>
      </c>
      <c r="E15" s="41" t="s">
        <v>78</v>
      </c>
      <c r="F15" s="41" t="s">
        <v>126</v>
      </c>
      <c r="G15" s="41" t="s">
        <v>15</v>
      </c>
      <c r="H15" s="41" t="s">
        <v>79</v>
      </c>
      <c r="I15" s="41" t="s">
        <v>80</v>
      </c>
      <c r="J15" s="41" t="s">
        <v>81</v>
      </c>
      <c r="K15" s="41" t="s">
        <v>82</v>
      </c>
      <c r="L15" s="40" t="s">
        <v>16</v>
      </c>
    </row>
    <row r="16" spans="1:15" ht="12.75">
      <c r="A16" s="45">
        <f aca="true" t="shared" si="0" ref="A16:F16">ROUND(A7/30*$B$13,2)</f>
        <v>7542.42</v>
      </c>
      <c r="B16" s="45">
        <f t="shared" si="0"/>
        <v>293.95</v>
      </c>
      <c r="C16" s="45">
        <f t="shared" si="0"/>
        <v>0</v>
      </c>
      <c r="D16" s="45">
        <f t="shared" si="0"/>
        <v>9.64</v>
      </c>
      <c r="E16" s="129">
        <f t="shared" si="0"/>
        <v>2243.17</v>
      </c>
      <c r="F16" s="45">
        <f t="shared" si="0"/>
        <v>2579.07</v>
      </c>
      <c r="G16" s="45">
        <f>SUM(A16:F16)</f>
        <v>12668.25</v>
      </c>
      <c r="H16" s="45">
        <f>ROUND(G16*PARAMETRELER!B17,2)+ROUND(F16*PARAMETRELER!B15,2)</f>
        <v>1625.63</v>
      </c>
      <c r="I16" s="45">
        <f>ROUND((A16+B16+C16+D16+E16)*PARAMETRELER!B15,2)</f>
        <v>908.03</v>
      </c>
      <c r="J16" s="45">
        <f>ROUND(G16*PARAMETRELER!B18,2)+ROUND(F16*PARAMETRELER!B16,2)</f>
        <v>1079.07</v>
      </c>
      <c r="K16" s="45">
        <f>ROUND((A16+B16+C16+D16+E16)*PARAMETRELER!B16,2)</f>
        <v>504.46</v>
      </c>
      <c r="L16" s="45">
        <f>SUM(H16:K16)</f>
        <v>4117.19</v>
      </c>
      <c r="O16" s="130"/>
    </row>
    <row r="19" spans="1:12" ht="15.75">
      <c r="A19" s="222" t="s">
        <v>44</v>
      </c>
      <c r="B19" s="223"/>
      <c r="C19" s="223"/>
      <c r="D19" s="223"/>
      <c r="E19" s="223"/>
      <c r="F19" s="223"/>
      <c r="G19" s="223"/>
      <c r="H19" s="223"/>
      <c r="I19" s="223"/>
      <c r="J19" s="223"/>
      <c r="K19" s="223"/>
      <c r="L19" s="224"/>
    </row>
    <row r="20" spans="1:12" ht="15.75">
      <c r="A20" s="46"/>
      <c r="B20" s="47"/>
      <c r="C20" s="47"/>
      <c r="D20" s="47"/>
      <c r="E20" s="47"/>
      <c r="F20" s="47"/>
      <c r="G20" s="47"/>
      <c r="H20" s="47"/>
      <c r="I20" s="47"/>
      <c r="J20" s="47"/>
      <c r="K20" s="47"/>
      <c r="L20" s="48"/>
    </row>
    <row r="21" spans="1:12" ht="15.75">
      <c r="A21" s="46"/>
      <c r="B21" s="47"/>
      <c r="C21" s="47"/>
      <c r="D21" s="47"/>
      <c r="E21" s="47"/>
      <c r="F21" s="47"/>
      <c r="G21" s="47"/>
      <c r="H21" s="47"/>
      <c r="I21" s="47"/>
      <c r="J21" s="47"/>
      <c r="K21" s="47"/>
      <c r="L21" s="48"/>
    </row>
    <row r="22" spans="1:12" ht="63.75">
      <c r="A22" s="39" t="s">
        <v>3</v>
      </c>
      <c r="B22" s="39" t="s">
        <v>14</v>
      </c>
      <c r="C22" s="40" t="s">
        <v>4</v>
      </c>
      <c r="D22" s="40" t="s">
        <v>2</v>
      </c>
      <c r="E22" s="41" t="s">
        <v>78</v>
      </c>
      <c r="F22" s="41" t="s">
        <v>126</v>
      </c>
      <c r="G22" s="41" t="s">
        <v>15</v>
      </c>
      <c r="H22" s="41" t="s">
        <v>17</v>
      </c>
      <c r="I22" s="41" t="s">
        <v>18</v>
      </c>
      <c r="J22" s="41" t="s">
        <v>19</v>
      </c>
      <c r="K22" s="41" t="s">
        <v>20</v>
      </c>
      <c r="L22" s="40" t="s">
        <v>16</v>
      </c>
    </row>
    <row r="23" spans="1:12" ht="12.75">
      <c r="A23" s="45">
        <f aca="true" t="shared" si="1" ref="A23:L23">A7</f>
        <v>11909.08</v>
      </c>
      <c r="B23" s="45">
        <f t="shared" si="1"/>
        <v>464.13</v>
      </c>
      <c r="C23" s="45">
        <f t="shared" si="1"/>
        <v>0</v>
      </c>
      <c r="D23" s="45">
        <f t="shared" si="1"/>
        <v>15.22</v>
      </c>
      <c r="E23" s="45">
        <f t="shared" si="1"/>
        <v>3541.85</v>
      </c>
      <c r="F23" s="45">
        <f>F7</f>
        <v>4072.219999999998</v>
      </c>
      <c r="G23" s="45">
        <f t="shared" si="1"/>
        <v>20002.499999999996</v>
      </c>
      <c r="H23" s="45">
        <f t="shared" si="1"/>
        <v>2566.7748</v>
      </c>
      <c r="I23" s="45">
        <f t="shared" si="1"/>
        <v>1433.73</v>
      </c>
      <c r="J23" s="45">
        <f t="shared" si="1"/>
        <v>1703.7984999999999</v>
      </c>
      <c r="K23" s="45">
        <f t="shared" si="1"/>
        <v>796.51</v>
      </c>
      <c r="L23" s="45">
        <f t="shared" si="1"/>
        <v>6500.8133</v>
      </c>
    </row>
    <row r="24" spans="1:12" ht="12.75">
      <c r="A24" s="45">
        <f>A16</f>
        <v>7542.42</v>
      </c>
      <c r="B24" s="45">
        <f aca="true" t="shared" si="2" ref="B24:L24">B16</f>
        <v>293.95</v>
      </c>
      <c r="C24" s="45">
        <f t="shared" si="2"/>
        <v>0</v>
      </c>
      <c r="D24" s="45">
        <f t="shared" si="2"/>
        <v>9.64</v>
      </c>
      <c r="E24" s="45">
        <f t="shared" si="2"/>
        <v>2243.17</v>
      </c>
      <c r="F24" s="45">
        <f>F16</f>
        <v>2579.07</v>
      </c>
      <c r="G24" s="45">
        <f t="shared" si="2"/>
        <v>12668.25</v>
      </c>
      <c r="H24" s="45">
        <f t="shared" si="2"/>
        <v>1625.63</v>
      </c>
      <c r="I24" s="45">
        <f t="shared" si="2"/>
        <v>908.03</v>
      </c>
      <c r="J24" s="45">
        <f t="shared" si="2"/>
        <v>1079.07</v>
      </c>
      <c r="K24" s="45">
        <f t="shared" si="2"/>
        <v>504.46</v>
      </c>
      <c r="L24" s="45">
        <f t="shared" si="2"/>
        <v>4117.19</v>
      </c>
    </row>
    <row r="25" spans="1:12" ht="12.75">
      <c r="A25" s="49"/>
      <c r="B25" s="225" t="s">
        <v>21</v>
      </c>
      <c r="C25" s="226"/>
      <c r="D25" s="226"/>
      <c r="E25" s="226"/>
      <c r="F25" s="226"/>
      <c r="G25" s="227"/>
      <c r="H25" s="50">
        <f>ROUND(H23-H24,2)</f>
        <v>941.14</v>
      </c>
      <c r="I25" s="50">
        <f>ROUND(I23-I24,2)</f>
        <v>525.7</v>
      </c>
      <c r="J25" s="50">
        <f>ROUND(J23-J24,2)</f>
        <v>624.73</v>
      </c>
      <c r="K25" s="50">
        <f>ROUND(K23-K24,2)</f>
        <v>292.05</v>
      </c>
      <c r="L25" s="50">
        <f>ROUND(SUM(H25:K25),2)</f>
        <v>2383.62</v>
      </c>
    </row>
    <row r="26" spans="1:12" ht="12.75">
      <c r="A26" s="49"/>
      <c r="B26" s="51"/>
      <c r="C26" s="51"/>
      <c r="D26" s="51"/>
      <c r="E26" s="51"/>
      <c r="F26" s="51"/>
      <c r="G26" s="51"/>
      <c r="H26" s="52"/>
      <c r="I26" s="52"/>
      <c r="J26" s="52"/>
      <c r="K26" s="52"/>
      <c r="L26" s="52"/>
    </row>
    <row r="27" spans="1:12" ht="12.75">
      <c r="A27" s="49"/>
      <c r="B27" s="51"/>
      <c r="C27" s="51"/>
      <c r="D27" s="51"/>
      <c r="E27" s="51"/>
      <c r="F27" s="51"/>
      <c r="G27" s="51"/>
      <c r="H27" s="52"/>
      <c r="I27" s="228" t="s">
        <v>45</v>
      </c>
      <c r="J27" s="229"/>
      <c r="K27" s="62">
        <f>IF(OR(PARAMETRELER!S6&gt;=2,G7=0),0,G7-G16)/100*12</f>
        <v>880.1099999999994</v>
      </c>
      <c r="L27" s="52"/>
    </row>
    <row r="29" spans="5:10" ht="15">
      <c r="E29" s="221" t="s">
        <v>23</v>
      </c>
      <c r="F29" s="221"/>
      <c r="G29" s="221"/>
      <c r="H29" s="221"/>
      <c r="I29" s="221"/>
      <c r="J29" s="126">
        <f>IF(PARAMETRELER!A1="ASKER (BAKMAKLA YÜK.OLAN)&amp; ÜCRETSİZ İZİN",L25-K27,IF(PARAMETRELER!A1&lt;&gt;"ASKER (BAKMAKLA YÜK.OLAN)&amp; ÜCRETSİZ İZİN",L25,))</f>
        <v>1503.5100000000004</v>
      </c>
    </row>
    <row r="30" ht="12.75">
      <c r="L30" s="130"/>
    </row>
    <row r="31" spans="1:11" ht="12.75">
      <c r="A31" s="80" t="s">
        <v>22</v>
      </c>
      <c r="B31" s="81" t="s">
        <v>41</v>
      </c>
      <c r="C31" s="81"/>
      <c r="D31" s="81"/>
      <c r="E31" s="81"/>
      <c r="F31" s="81"/>
      <c r="G31" s="81"/>
      <c r="H31" s="81"/>
      <c r="I31" s="81"/>
      <c r="J31" s="81"/>
      <c r="K31" s="81"/>
    </row>
    <row r="32" spans="1:11" ht="12.75">
      <c r="A32" s="81"/>
      <c r="B32" s="81"/>
      <c r="C32" s="81"/>
      <c r="D32" s="81"/>
      <c r="E32" s="81"/>
      <c r="F32" s="81"/>
      <c r="G32" s="81"/>
      <c r="H32" s="81"/>
      <c r="I32" s="81"/>
      <c r="J32" s="81"/>
      <c r="K32" s="81"/>
    </row>
    <row r="33" spans="1:11" ht="12.75">
      <c r="A33" s="81"/>
      <c r="B33" s="81" t="s">
        <v>42</v>
      </c>
      <c r="C33" s="81"/>
      <c r="D33" s="81"/>
      <c r="E33" s="81"/>
      <c r="F33" s="81"/>
      <c r="G33" s="81"/>
      <c r="H33" s="81"/>
      <c r="I33" s="81"/>
      <c r="J33" s="81"/>
      <c r="K33" s="81"/>
    </row>
    <row r="34" spans="1:11" ht="12.75">
      <c r="A34" s="81"/>
      <c r="B34" s="81"/>
      <c r="C34" s="81"/>
      <c r="D34" s="81"/>
      <c r="E34" s="81"/>
      <c r="F34" s="81"/>
      <c r="G34" s="81"/>
      <c r="H34" s="81"/>
      <c r="I34" s="81"/>
      <c r="J34" s="81"/>
      <c r="K34" s="81"/>
    </row>
    <row r="35" spans="1:11" ht="12.75">
      <c r="A35" s="81"/>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sheetProtection password="C649" sheet="1" formatCells="0" formatColumns="0" formatRows="0" insertColumns="0" insertRows="0" insertHyperlinks="0" deleteColumns="0" deleteRows="0" sort="0" autoFilter="0" pivotTables="0"/>
  <mergeCells count="6">
    <mergeCell ref="E29:I29"/>
    <mergeCell ref="A1:L1"/>
    <mergeCell ref="A19:L19"/>
    <mergeCell ref="B25:G25"/>
    <mergeCell ref="I27:J27"/>
    <mergeCell ref="A10:L10"/>
  </mergeCells>
  <printOptions/>
  <pageMargins left="0.31496062992125984" right="0.31496062992125984" top="0.35433070866141736" bottom="0.35433070866141736" header="0.31496062992125984" footer="0.31496062992125984"/>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mozbulut</dc:creator>
  <cp:keywords/>
  <dc:description/>
  <cp:lastModifiedBy>İsa ARAS</cp:lastModifiedBy>
  <cp:lastPrinted>2023-12-22T08:29:05Z</cp:lastPrinted>
  <dcterms:created xsi:type="dcterms:W3CDTF">2006-12-06T13:45:49Z</dcterms:created>
  <dcterms:modified xsi:type="dcterms:W3CDTF">2024-04-17T06:35:13Z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